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comments4.xml" ContentType="application/vnd.openxmlformats-officedocument.spreadsheetml.comments+xml"/>
  <Override PartName="/xl/threadedComments/threadedComment1.xml" ContentType="application/vnd.ms-excel.threadedcomments+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7"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codeName="ThisWorkbook"/>
  <mc:AlternateContent xmlns:mc="http://schemas.openxmlformats.org/markup-compatibility/2006">
    <mc:Choice Requires="x15">
      <x15ac:absPath xmlns:x15ac="http://schemas.microsoft.com/office/spreadsheetml/2010/11/ac" url="L:\VCM (nieuwe structuur)\Projectwerking\Afgeronde projecten\VCM-projecten\H2020 Systemic\SYSTEMIC onedrive 1-12-2021\WP3 (Marieke)\Business Development Package\D 3.5 NUTRICAS Tool\"/>
    </mc:Choice>
  </mc:AlternateContent>
  <xr:revisionPtr revIDLastSave="0" documentId="13_ncr:1_{6795A8A3-E107-470C-B567-C54323B3F34A}" xr6:coauthVersionLast="47" xr6:coauthVersionMax="47" xr10:uidLastSave="{00000000-0000-0000-0000-000000000000}"/>
  <bookViews>
    <workbookView xWindow="1127" yWindow="1127" windowWidth="18031" windowHeight="9304" activeTab="1" xr2:uid="{00000000-000D-0000-FFFF-FFFF00000000}"/>
  </bookViews>
  <sheets>
    <sheet name="parameters" sheetId="66" r:id="rId1"/>
    <sheet name="Decanter centrifuge" sheetId="38" r:id="rId2"/>
    <sheet name="Screw press" sheetId="39" r:id="rId3"/>
    <sheet name="Belt press" sheetId="40" r:id="rId4"/>
    <sheet name="DAF" sheetId="42" r:id="rId5"/>
    <sheet name="N-stripping scrubbing" sheetId="43" r:id="rId6"/>
    <sheet name="Fiberplus" sheetId="45" r:id="rId7"/>
    <sheet name="RePeat" sheetId="57" r:id="rId8"/>
    <sheet name="Evaporation of low DM input" sheetId="47" r:id="rId9"/>
    <sheet name="Evaporation of high DM input" sheetId="67" r:id="rId10"/>
    <sheet name="Evaporation+RO" sheetId="63" r:id="rId11"/>
    <sheet name="MF-RO-IX" sheetId="60" r:id="rId12"/>
    <sheet name="Dryer" sheetId="65" r:id="rId13"/>
    <sheet name="additive dosage" sheetId="44" state="hidden" r:id="rId14"/>
    <sheet name="RR pre-treatment MF" sheetId="18" state="hidden" r:id="rId15"/>
  </sheets>
  <definedNames>
    <definedName name="capex_belt">#REF!</definedName>
    <definedName name="capex_cent">#REF!</definedName>
    <definedName name="CAPEX_DAF">#REF!</definedName>
    <definedName name="CAPEX_Nstrip">#REF!</definedName>
    <definedName name="cost_ch_DAF" localSheetId="14">'RR pre-treatment MF'!$Y$27:$Z$34</definedName>
    <definedName name="cost_ch_DAF">#REF!</definedName>
    <definedName name="cost_evap">#REF!</definedName>
    <definedName name="cost_FBD">#REF!</definedName>
    <definedName name="cost_IX">#REF!</definedName>
    <definedName name="cost_MF">#REF!</definedName>
    <definedName name="cost_Nstripgyps">#REF!</definedName>
    <definedName name="cost_nstripgypsPT">#REF!</definedName>
    <definedName name="cost_repeatdryer">#REF!</definedName>
    <definedName name="cost_RO">#REF!</definedName>
    <definedName name="cost_screw">#REF!</definedName>
    <definedName name="cost_sepADD">#REF!</definedName>
    <definedName name="costs_repeat">#REF!</definedName>
    <definedName name="Google_Sheet_Link_1007282287" hidden="1">mass_gyps</definedName>
    <definedName name="Google_Sheet_Link_1013916219" hidden="1">RR_sep</definedName>
    <definedName name="Google_Sheet_Link_1016727284" hidden="1">capex_belt</definedName>
    <definedName name="Google_Sheet_Link_1032845685" hidden="1">cost_sepADD</definedName>
    <definedName name="Google_Sheet_Link_1037144498" hidden="1">CAPEX_DAF</definedName>
    <definedName name="Google_Sheet_Link_1054349350" hidden="1">CAPEX_Nstrip</definedName>
    <definedName name="Google_Sheet_Link_1055747" hidden="1">cost_nstripgypsPT</definedName>
    <definedName name="Google_Sheet_Link_1065457947" hidden="1">RR_IX_salts</definedName>
    <definedName name="Google_Sheet_Link_1069566407" hidden="1">RR_evap_conc</definedName>
    <definedName name="Google_Sheet_Link_1097283296" hidden="1">capex_cent</definedName>
    <definedName name="Google_Sheet_Link_118021801" hidden="1">cost_sepADD</definedName>
    <definedName name="Google_Sheet_Link_1238488542" hidden="1">sep_ADD</definedName>
    <definedName name="Google_Sheet_Link_1277048916" hidden="1">RR_stripscrub_Ndig</definedName>
    <definedName name="Google_Sheet_Link_1363735804" hidden="1">RR_sep</definedName>
    <definedName name="Google_Sheet_Link_1407560076" hidden="1">RR_dry_water</definedName>
    <definedName name="Google_Sheet_Link_1437414022" hidden="1">cost_evap</definedName>
    <definedName name="Google_Sheet_Link_1443836374" hidden="1">cost_ch_DAF</definedName>
    <definedName name="Google_Sheet_Link_1487005970" hidden="1">stripscrub_acid</definedName>
    <definedName name="Google_Sheet_Link_1525354961" hidden="1">RR_IX_water</definedName>
    <definedName name="Google_Sheet_Link_1527658432" hidden="1">RR_dry_dried</definedName>
    <definedName name="Google_Sheet_Link_1564917564" hidden="1">sep_ADDcalc</definedName>
    <definedName name="Google_Sheet_Link_157972940" hidden="1">cost_sepADD</definedName>
    <definedName name="Google_Sheet_Link_1586978210" hidden="1">cost_screw</definedName>
    <definedName name="Google_Sheet_Link_1589271484" hidden="1">cost_screw</definedName>
    <definedName name="Google_Sheet_Link_1651294465" hidden="1">RR_sep</definedName>
    <definedName name="Google_Sheet_Link_166266668" hidden="1">RR_sep</definedName>
    <definedName name="Google_Sheet_Link_1699754822" hidden="1">Pstrip_H2SO4</definedName>
    <definedName name="Google_Sheet_Link_1749731244" hidden="1">sep_ADD</definedName>
    <definedName name="Google_Sheet_Link_1789269071" hidden="1">capex_belt</definedName>
    <definedName name="Google_Sheet_Link_1799738214" hidden="1">cost_nstripgypsPT</definedName>
    <definedName name="Google_Sheet_Link_1816555843" hidden="1">RR_RO_conc</definedName>
    <definedName name="Google_Sheet_Link_1877204551" hidden="1">RR_gstripscrub_CC</definedName>
    <definedName name="Google_Sheet_Link_188214224" hidden="1">RR_evap_cond</definedName>
    <definedName name="Google_Sheet_Link_1885079316" hidden="1">RR_stripscrub_ASS</definedName>
    <definedName name="Google_Sheet_Link_220764740" hidden="1">RR_MF_perm</definedName>
    <definedName name="Google_Sheet_Link_234695432" hidden="1">RR_MF_sol</definedName>
    <definedName name="Google_Sheet_Link_253994520" hidden="1">sep_ADDcalc</definedName>
    <definedName name="Google_Sheet_Link_255742450" hidden="1">Pstrip_H2SO4</definedName>
    <definedName name="Google_Sheet_Link_297673097" hidden="1">RR_evap_conc</definedName>
    <definedName name="Google_Sheet_Link_313781737" hidden="1">cost_RO</definedName>
    <definedName name="Google_Sheet_Link_348053488" hidden="1">sep_ADDcalc</definedName>
    <definedName name="Google_Sheet_Link_355438545" hidden="1">RR_RO_perm</definedName>
    <definedName name="Google_Sheet_Link_383329617" hidden="1">cost_evap</definedName>
    <definedName name="Google_Sheet_Link_387170548" hidden="1">stripscrub_ASdil</definedName>
    <definedName name="Google_Sheet_Link_400694346" hidden="1">sep_ADDcalc</definedName>
    <definedName name="Google_Sheet_Link_468882797" hidden="1">RR_gstripscrub_Ndig</definedName>
    <definedName name="Google_Sheet_Link_482168782" hidden="1">cost_FBD</definedName>
    <definedName name="Google_Sheet_Link_499182886" hidden="1">cost_MF</definedName>
    <definedName name="Google_Sheet_Link_521306987" hidden="1">cost_IX</definedName>
    <definedName name="Google_Sheet_Link_541194413" hidden="1">cost_evap</definedName>
    <definedName name="Google_Sheet_Link_584191189" hidden="1">cost_sepADD</definedName>
    <definedName name="Google_Sheet_Link_618766026" hidden="1">mass_NH42SO4</definedName>
    <definedName name="Google_Sheet_Link_630127405" hidden="1">RR_gstripscrub_NC</definedName>
    <definedName name="Google_Sheet_Link_635334062" hidden="1">cost_Nstripgyps</definedName>
    <definedName name="Google_Sheet_Link_647213447" hidden="1">cost_Nstripgyps</definedName>
    <definedName name="Google_Sheet_Link_715212099" hidden="1">RR_sep</definedName>
    <definedName name="Google_Sheet_Link_7250521" hidden="1">RR_sep</definedName>
    <definedName name="Google_Sheet_Link_73303617" hidden="1">RR_evap_cond</definedName>
    <definedName name="Google_Sheet_Link_736354746" hidden="1">Pstrip_dil</definedName>
    <definedName name="Google_Sheet_Link_73901224" hidden="1">capex_cent</definedName>
    <definedName name="Google_Sheet_Link_789177182" hidden="1">CAPEX_DAF</definedName>
    <definedName name="Google_Sheet_Link_86970077" hidden="1">RR_gstripscrub_AS</definedName>
    <definedName name="Google_Sheet_Link_871849208" hidden="1">CAPEX_Nstrip</definedName>
    <definedName name="Google_Sheet_Link_913834271" hidden="1">Pstrip_aciddilSF</definedName>
    <definedName name="Google_Sheet_Link_958924192" hidden="1">RR_sep</definedName>
    <definedName name="mass_gyps">#REF!</definedName>
    <definedName name="mass_NH42SO4">#REF!</definedName>
    <definedName name="Pstrip_aciddilSF">#REF!</definedName>
    <definedName name="Pstrip_CaOH2">#REF!</definedName>
    <definedName name="Pstrip_CAP">#REF!</definedName>
    <definedName name="Pstrip_CaSsludge">#REF!</definedName>
    <definedName name="Pstrip_dil">#REF!</definedName>
    <definedName name="Pstrip_driedCAP">#REF!</definedName>
    <definedName name="Pstrip_H2SO4">#REF!</definedName>
    <definedName name="Pstrip_LF1">#REF!</definedName>
    <definedName name="Pstrip_LF2">#REF!</definedName>
    <definedName name="Pstrip_LF3">#REF!</definedName>
    <definedName name="Pstrip_PlowSI">#REF!</definedName>
    <definedName name="Pstrip_water">#REF!</definedName>
    <definedName name="RR_dry_dried">#REF!</definedName>
    <definedName name="RR_dry_water">#REF!</definedName>
    <definedName name="RR_evap_conc">#REF!</definedName>
    <definedName name="RR_evap_cond">#REF!</definedName>
    <definedName name="RR_gstripscrub_AS">#REF!</definedName>
    <definedName name="RR_gstripscrub_CC">#REF!</definedName>
    <definedName name="RR_gstripscrub_NC">#REF!</definedName>
    <definedName name="RR_gstripscrub_Ndig">#REF!</definedName>
    <definedName name="RR_IX_salts">#REF!</definedName>
    <definedName name="RR_IX_water">#REF!</definedName>
    <definedName name="RR_MF_perm">#REF!</definedName>
    <definedName name="RR_MF_sol">#REF!</definedName>
    <definedName name="RR_RO_conc">#REF!</definedName>
    <definedName name="RR_RO_perm">#REF!</definedName>
    <definedName name="RR_sep">#REF!</definedName>
    <definedName name="RR_stripscrub_ASS">#REF!</definedName>
    <definedName name="RR_stripscrub_Ndig">#REF!</definedName>
    <definedName name="sep_ADD">#REF!</definedName>
    <definedName name="sep_ADDcalc">#REF!</definedName>
    <definedName name="stripscrub_acid">#REF!</definedName>
    <definedName name="stripscrub_ASdi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40" roundtripDataSignature="AMtx7mjHmtsDmQIilxTcgSwcdD2d7hcFNQ=="/>
    </ext>
  </extLst>
</workbook>
</file>

<file path=xl/calcChain.xml><?xml version="1.0" encoding="utf-8"?>
<calcChain xmlns="http://schemas.openxmlformats.org/spreadsheetml/2006/main">
  <c r="J10" i="47" l="1"/>
  <c r="H10" i="47"/>
  <c r="G50" i="47"/>
  <c r="G51" i="47"/>
  <c r="G49" i="47"/>
  <c r="G46" i="47"/>
  <c r="E17" i="47"/>
  <c r="E6" i="47"/>
  <c r="E13" i="47"/>
  <c r="E12" i="47"/>
  <c r="E11" i="47"/>
  <c r="E10" i="47"/>
  <c r="E8" i="47"/>
  <c r="AE13" i="60" l="1"/>
  <c r="AG13" i="60"/>
  <c r="AH13" i="60"/>
  <c r="AE12" i="60"/>
  <c r="AG12" i="60"/>
  <c r="AI11" i="60"/>
  <c r="AG11" i="60"/>
  <c r="AG10" i="60"/>
  <c r="AH11" i="60"/>
  <c r="AA11" i="60"/>
  <c r="Y11" i="60"/>
  <c r="Y10" i="60"/>
  <c r="AC11" i="60"/>
  <c r="AC10" i="60"/>
  <c r="AC8" i="60"/>
  <c r="Y9" i="60"/>
  <c r="H47" i="67"/>
  <c r="H11" i="67"/>
  <c r="B16" i="47"/>
  <c r="S11" i="60" l="1"/>
  <c r="W11" i="60"/>
  <c r="W12" i="60"/>
  <c r="G14" i="60"/>
  <c r="G13" i="60"/>
  <c r="G12" i="60"/>
  <c r="G11" i="60"/>
  <c r="G10" i="60"/>
  <c r="C10" i="60"/>
  <c r="E16" i="42"/>
  <c r="E9" i="42"/>
  <c r="E15" i="42" l="1"/>
  <c r="E11" i="42"/>
  <c r="E10" i="42"/>
  <c r="C4" i="65" l="1"/>
  <c r="B10" i="65"/>
  <c r="B7" i="65" s="1"/>
  <c r="Q141" i="63"/>
  <c r="L141" i="63"/>
  <c r="Q140" i="63"/>
  <c r="L140" i="63"/>
  <c r="Q137" i="63"/>
  <c r="L137" i="63"/>
  <c r="Q136" i="63"/>
  <c r="Q135" i="63" s="1"/>
  <c r="L136" i="63"/>
  <c r="Q134" i="63"/>
  <c r="L134" i="63"/>
  <c r="Q133" i="63"/>
  <c r="L133" i="63"/>
  <c r="Q132" i="63"/>
  <c r="Q130" i="63"/>
  <c r="L130" i="63"/>
  <c r="Q129" i="63"/>
  <c r="Q128" i="63" s="1"/>
  <c r="L129" i="63"/>
  <c r="Q127" i="63"/>
  <c r="L127" i="63"/>
  <c r="Q126" i="63"/>
  <c r="Q125" i="63" s="1"/>
  <c r="L126" i="63"/>
  <c r="Q123" i="63"/>
  <c r="L123" i="63"/>
  <c r="Q122" i="63"/>
  <c r="L122" i="63"/>
  <c r="Q121" i="63"/>
  <c r="I121" i="63"/>
  <c r="G121" i="63"/>
  <c r="E121" i="63"/>
  <c r="L120" i="63"/>
  <c r="Q119" i="63"/>
  <c r="L119" i="63"/>
  <c r="L116" i="63"/>
  <c r="I113" i="63"/>
  <c r="G113" i="63"/>
  <c r="E113" i="63"/>
  <c r="I111" i="63"/>
  <c r="G111" i="63"/>
  <c r="E111" i="63"/>
  <c r="I109" i="63"/>
  <c r="J114" i="63" s="1"/>
  <c r="G109" i="63"/>
  <c r="H114" i="63" s="1"/>
  <c r="E109" i="63"/>
  <c r="F114" i="63" s="1"/>
  <c r="Q106" i="63"/>
  <c r="L106" i="63"/>
  <c r="Q105" i="63"/>
  <c r="L105" i="63"/>
  <c r="Q104" i="63"/>
  <c r="Q103" i="63" s="1"/>
  <c r="Q102" i="63"/>
  <c r="L102" i="63"/>
  <c r="Q101" i="63"/>
  <c r="L101" i="63"/>
  <c r="Q99" i="63"/>
  <c r="L99" i="63"/>
  <c r="Q98" i="63"/>
  <c r="L98" i="63"/>
  <c r="Q95" i="63"/>
  <c r="Q93" i="63" s="1"/>
  <c r="L95" i="63"/>
  <c r="Q94" i="63"/>
  <c r="L94" i="63"/>
  <c r="Q92" i="63"/>
  <c r="L92" i="63"/>
  <c r="Q91" i="63"/>
  <c r="L91" i="63"/>
  <c r="Q88" i="63"/>
  <c r="Q86" i="63" s="1"/>
  <c r="L88" i="63"/>
  <c r="Q87" i="63"/>
  <c r="L87" i="63"/>
  <c r="I86" i="63"/>
  <c r="G86" i="63"/>
  <c r="E86" i="63"/>
  <c r="L85" i="63"/>
  <c r="Q84" i="63"/>
  <c r="L84" i="63"/>
  <c r="L81" i="63"/>
  <c r="F79" i="63"/>
  <c r="I78" i="63"/>
  <c r="G78" i="63"/>
  <c r="E78" i="63"/>
  <c r="I76" i="63"/>
  <c r="G76" i="63"/>
  <c r="E76" i="63"/>
  <c r="I74" i="63"/>
  <c r="J79" i="63" s="1"/>
  <c r="G74" i="63"/>
  <c r="H79" i="63" s="1"/>
  <c r="E74" i="63"/>
  <c r="I16" i="63"/>
  <c r="G16" i="63"/>
  <c r="E16" i="63"/>
  <c r="Q71" i="63"/>
  <c r="L71" i="63"/>
  <c r="Q70" i="63"/>
  <c r="L70" i="63"/>
  <c r="Q69" i="63"/>
  <c r="Q68" i="63" s="1"/>
  <c r="Q67" i="63"/>
  <c r="L67" i="63"/>
  <c r="Q66" i="63"/>
  <c r="L66" i="63"/>
  <c r="Q64" i="63"/>
  <c r="L64" i="63"/>
  <c r="Q63" i="63"/>
  <c r="Q62" i="63" s="1"/>
  <c r="L63" i="63"/>
  <c r="Q60" i="63"/>
  <c r="L60" i="63"/>
  <c r="Q59" i="63"/>
  <c r="Q58" i="63" s="1"/>
  <c r="L59" i="63"/>
  <c r="Q57" i="63"/>
  <c r="L57" i="63"/>
  <c r="Q56" i="63"/>
  <c r="L56" i="63"/>
  <c r="Q53" i="63"/>
  <c r="Q51" i="63" s="1"/>
  <c r="L53" i="63"/>
  <c r="Q52" i="63"/>
  <c r="L52" i="63"/>
  <c r="I51" i="63"/>
  <c r="G51" i="63"/>
  <c r="E51" i="63"/>
  <c r="L50" i="63"/>
  <c r="L49" i="63"/>
  <c r="L46" i="63"/>
  <c r="I43" i="63"/>
  <c r="G43" i="63"/>
  <c r="E43" i="63"/>
  <c r="I41" i="63"/>
  <c r="G41" i="63"/>
  <c r="E41" i="63"/>
  <c r="I39" i="63"/>
  <c r="J44" i="63" s="1"/>
  <c r="G39" i="63"/>
  <c r="H44" i="63" s="1"/>
  <c r="E39" i="63"/>
  <c r="F44" i="63" s="1"/>
  <c r="J9" i="63"/>
  <c r="H9" i="63"/>
  <c r="F9" i="63"/>
  <c r="Q36" i="63"/>
  <c r="Q35" i="63"/>
  <c r="Q34" i="63"/>
  <c r="Q33" i="63" s="1"/>
  <c r="Q32" i="63"/>
  <c r="Q31" i="63"/>
  <c r="Q30" i="63" s="1"/>
  <c r="Q29" i="63"/>
  <c r="Q28" i="63"/>
  <c r="Q25" i="63"/>
  <c r="Q24" i="63"/>
  <c r="Q22" i="63"/>
  <c r="Q21" i="63"/>
  <c r="Q20" i="63" s="1"/>
  <c r="Q18" i="63"/>
  <c r="Q17" i="63"/>
  <c r="Q16" i="63" s="1"/>
  <c r="Q14" i="63"/>
  <c r="I4" i="63"/>
  <c r="G4" i="63"/>
  <c r="E4" i="63"/>
  <c r="C16" i="60"/>
  <c r="Z9" i="60"/>
  <c r="AC4" i="60"/>
  <c r="AD9" i="60" s="1"/>
  <c r="AA4" i="60"/>
  <c r="AB9" i="60" s="1"/>
  <c r="W36" i="60"/>
  <c r="W35" i="60"/>
  <c r="W32" i="60"/>
  <c r="W31" i="60"/>
  <c r="W29" i="60"/>
  <c r="W28" i="60"/>
  <c r="W25" i="60"/>
  <c r="W24" i="60"/>
  <c r="W22" i="60"/>
  <c r="W21" i="60"/>
  <c r="W18" i="60"/>
  <c r="W17" i="60"/>
  <c r="W14" i="60"/>
  <c r="K8" i="60"/>
  <c r="O4" i="60"/>
  <c r="P9" i="60" s="1"/>
  <c r="M4" i="60"/>
  <c r="N9" i="60" s="1"/>
  <c r="K4" i="60"/>
  <c r="L9" i="60" s="1"/>
  <c r="J47" i="67"/>
  <c r="J46" i="67" s="1"/>
  <c r="C115" i="63" s="1"/>
  <c r="I11" i="67"/>
  <c r="I14" i="67"/>
  <c r="I15" i="67"/>
  <c r="I17" i="67"/>
  <c r="I18" i="67"/>
  <c r="I21" i="67"/>
  <c r="I22" i="67"/>
  <c r="I24" i="67"/>
  <c r="I25" i="67"/>
  <c r="I28" i="67"/>
  <c r="I29" i="67"/>
  <c r="I31" i="67"/>
  <c r="I32" i="67"/>
  <c r="I35" i="67"/>
  <c r="I36" i="67"/>
  <c r="B16" i="67"/>
  <c r="D18" i="67" s="1"/>
  <c r="C18" i="67" s="1"/>
  <c r="B20" i="67"/>
  <c r="B23" i="67"/>
  <c r="D24" i="67" s="1"/>
  <c r="B27" i="67"/>
  <c r="B28" i="67" s="1"/>
  <c r="D22" i="67"/>
  <c r="I72" i="67"/>
  <c r="D72" i="67"/>
  <c r="C72" i="67"/>
  <c r="L72" i="67" s="1"/>
  <c r="I71" i="67"/>
  <c r="D71" i="67"/>
  <c r="C71" i="67" s="1"/>
  <c r="I68" i="67"/>
  <c r="I67" i="67"/>
  <c r="I65" i="67"/>
  <c r="B65" i="67"/>
  <c r="D65" i="67" s="1"/>
  <c r="C65" i="67" s="1"/>
  <c r="I64" i="67"/>
  <c r="I61" i="67"/>
  <c r="I60" i="67"/>
  <c r="B59" i="67"/>
  <c r="D60" i="67" s="1"/>
  <c r="C60" i="67" s="1"/>
  <c r="I58" i="67"/>
  <c r="D58" i="67"/>
  <c r="I57" i="67"/>
  <c r="D57" i="67"/>
  <c r="C57" i="67" s="1"/>
  <c r="B56" i="67"/>
  <c r="I54" i="67"/>
  <c r="I53" i="67"/>
  <c r="G52" i="67"/>
  <c r="B52" i="67"/>
  <c r="D54" i="67" s="1"/>
  <c r="C54" i="67" s="1"/>
  <c r="I51" i="67"/>
  <c r="I50" i="67"/>
  <c r="E49" i="67"/>
  <c r="B49" i="67"/>
  <c r="D50" i="67" s="1"/>
  <c r="C50" i="67" s="1"/>
  <c r="I47" i="67"/>
  <c r="G46" i="67"/>
  <c r="C46" i="67"/>
  <c r="C58" i="67" s="1"/>
  <c r="H45" i="67"/>
  <c r="G44" i="67"/>
  <c r="E44" i="67"/>
  <c r="E46" i="67" s="1"/>
  <c r="G42" i="67"/>
  <c r="E42" i="67"/>
  <c r="E53" i="67" s="1"/>
  <c r="E52" i="67" s="1"/>
  <c r="E48" i="67" s="1"/>
  <c r="G40" i="67"/>
  <c r="E40" i="67"/>
  <c r="F45" i="67" s="1"/>
  <c r="D36" i="67"/>
  <c r="D35" i="67"/>
  <c r="E13" i="67"/>
  <c r="C10" i="67"/>
  <c r="C35" i="67" s="1"/>
  <c r="E8" i="67"/>
  <c r="E10" i="67" s="1"/>
  <c r="E6" i="67"/>
  <c r="E4" i="67"/>
  <c r="F9" i="67" s="1"/>
  <c r="B52" i="47"/>
  <c r="G44" i="47"/>
  <c r="G52" i="47"/>
  <c r="E53" i="47"/>
  <c r="E52" i="47" s="1"/>
  <c r="E46" i="47"/>
  <c r="E44" i="47"/>
  <c r="G42" i="47"/>
  <c r="E42" i="47"/>
  <c r="G40" i="47"/>
  <c r="H45" i="47" s="1"/>
  <c r="E40" i="47"/>
  <c r="F45" i="47" s="1"/>
  <c r="C46" i="47"/>
  <c r="S9" i="45"/>
  <c r="E9" i="45"/>
  <c r="E4" i="47"/>
  <c r="F9" i="47" s="1"/>
  <c r="C10" i="47"/>
  <c r="B16" i="57"/>
  <c r="C10" i="57"/>
  <c r="V4" i="57"/>
  <c r="V8" i="57"/>
  <c r="E7" i="57"/>
  <c r="F146" i="38"/>
  <c r="F110" i="38"/>
  <c r="F74" i="38"/>
  <c r="F38" i="38"/>
  <c r="F38" i="39"/>
  <c r="F8" i="40"/>
  <c r="F8" i="42"/>
  <c r="F8" i="43"/>
  <c r="G8" i="57"/>
  <c r="G4" i="57"/>
  <c r="B34" i="57"/>
  <c r="B36" i="57" s="1"/>
  <c r="Y12" i="45"/>
  <c r="J8" i="45"/>
  <c r="Y11" i="45"/>
  <c r="K8" i="43"/>
  <c r="D17" i="45"/>
  <c r="B13" i="45"/>
  <c r="D14" i="45" s="1"/>
  <c r="C10" i="45"/>
  <c r="F21" i="43"/>
  <c r="E4" i="43"/>
  <c r="C9" i="43"/>
  <c r="E4" i="42"/>
  <c r="D27" i="42"/>
  <c r="C9" i="42"/>
  <c r="E4" i="40"/>
  <c r="C9" i="40"/>
  <c r="E9" i="40" s="1"/>
  <c r="E34" i="39"/>
  <c r="C4" i="39"/>
  <c r="C147" i="38"/>
  <c r="E142" i="38"/>
  <c r="C111" i="38"/>
  <c r="E106" i="38"/>
  <c r="E70" i="38"/>
  <c r="C75" i="38"/>
  <c r="E75" i="38" s="1"/>
  <c r="E72" i="38"/>
  <c r="E34" i="38"/>
  <c r="E36" i="38"/>
  <c r="C39" i="38"/>
  <c r="E39" i="38" s="1"/>
  <c r="C4" i="38"/>
  <c r="Q10" i="43"/>
  <c r="C77" i="44"/>
  <c r="C78" i="44"/>
  <c r="E79" i="44"/>
  <c r="C81" i="44"/>
  <c r="A80" i="44"/>
  <c r="O8" i="60"/>
  <c r="E115" i="63" l="1"/>
  <c r="E118" i="63"/>
  <c r="Q124" i="63"/>
  <c r="Q131" i="63"/>
  <c r="Q139" i="63"/>
  <c r="G115" i="63"/>
  <c r="I115" i="63"/>
  <c r="Q90" i="63"/>
  <c r="Q100" i="63"/>
  <c r="Q97" i="63"/>
  <c r="Q55" i="63"/>
  <c r="Q65" i="63"/>
  <c r="Q61" i="63" s="1"/>
  <c r="Q23" i="63"/>
  <c r="Q27" i="63"/>
  <c r="W27" i="60"/>
  <c r="B30" i="67"/>
  <c r="B13" i="67"/>
  <c r="C22" i="67"/>
  <c r="D21" i="67"/>
  <c r="C21" i="67" s="1"/>
  <c r="C20" i="67" s="1"/>
  <c r="D29" i="67"/>
  <c r="C29" i="67" s="1"/>
  <c r="C24" i="67"/>
  <c r="L24" i="67" s="1"/>
  <c r="D51" i="67"/>
  <c r="C51" i="67" s="1"/>
  <c r="D53" i="67"/>
  <c r="C53" i="67" s="1"/>
  <c r="C52" i="67" s="1"/>
  <c r="D52" i="67" s="1"/>
  <c r="D28" i="67"/>
  <c r="C28" i="67" s="1"/>
  <c r="L21" i="67"/>
  <c r="L58" i="67"/>
  <c r="J58" i="67"/>
  <c r="J57" i="67"/>
  <c r="C56" i="67"/>
  <c r="L57" i="67"/>
  <c r="L65" i="67"/>
  <c r="J65" i="67"/>
  <c r="L22" i="67"/>
  <c r="J22" i="67"/>
  <c r="L53" i="67"/>
  <c r="E17" i="67"/>
  <c r="E16" i="67" s="1"/>
  <c r="E12" i="67" s="1"/>
  <c r="E11" i="67" s="1"/>
  <c r="L60" i="67"/>
  <c r="J60" i="67"/>
  <c r="L71" i="67"/>
  <c r="J71" i="67"/>
  <c r="C70" i="67"/>
  <c r="J18" i="67"/>
  <c r="L18" i="67"/>
  <c r="E47" i="67"/>
  <c r="L50" i="67"/>
  <c r="C49" i="67"/>
  <c r="J50" i="67"/>
  <c r="J54" i="67"/>
  <c r="L54" i="67"/>
  <c r="J35" i="67"/>
  <c r="L35" i="67"/>
  <c r="G49" i="67"/>
  <c r="B63" i="67"/>
  <c r="D61" i="67"/>
  <c r="C61" i="67" s="1"/>
  <c r="C59" i="67" s="1"/>
  <c r="D59" i="67" s="1"/>
  <c r="C36" i="67"/>
  <c r="C34" i="67" s="1"/>
  <c r="J72" i="67"/>
  <c r="D25" i="67"/>
  <c r="C25" i="67" s="1"/>
  <c r="D17" i="67"/>
  <c r="C17" i="67" s="1"/>
  <c r="G48" i="47"/>
  <c r="G47" i="47" s="1"/>
  <c r="V10" i="57"/>
  <c r="V13" i="57" s="1"/>
  <c r="E10" i="57"/>
  <c r="E11" i="57" s="1"/>
  <c r="B35" i="57"/>
  <c r="J9" i="45"/>
  <c r="C14" i="45"/>
  <c r="B21" i="65"/>
  <c r="B24" i="65" s="1"/>
  <c r="B25" i="65" s="1"/>
  <c r="D25" i="65" s="1"/>
  <c r="F30" i="65"/>
  <c r="D30" i="65"/>
  <c r="F29" i="65"/>
  <c r="D29" i="65"/>
  <c r="F26" i="65"/>
  <c r="F25" i="65"/>
  <c r="F23" i="65"/>
  <c r="D23" i="65"/>
  <c r="F22" i="65"/>
  <c r="F19" i="65"/>
  <c r="F18" i="65"/>
  <c r="F16" i="65"/>
  <c r="D16" i="65"/>
  <c r="B14" i="65" s="1"/>
  <c r="F15" i="65"/>
  <c r="F12" i="65"/>
  <c r="F11" i="65"/>
  <c r="F9" i="65"/>
  <c r="F8" i="65"/>
  <c r="F5" i="65"/>
  <c r="B13" i="57"/>
  <c r="I118" i="63" l="1"/>
  <c r="E117" i="63"/>
  <c r="E116" i="63" s="1"/>
  <c r="E120" i="63"/>
  <c r="Q138" i="63"/>
  <c r="G118" i="63"/>
  <c r="Q96" i="63"/>
  <c r="Q89" i="63"/>
  <c r="Q54" i="63"/>
  <c r="Q26" i="63"/>
  <c r="Q19" i="63"/>
  <c r="J21" i="67"/>
  <c r="J20" i="67" s="1"/>
  <c r="H20" i="67" s="1"/>
  <c r="I20" i="67" s="1"/>
  <c r="B31" i="67"/>
  <c r="B14" i="67" s="1"/>
  <c r="B15" i="67" s="1"/>
  <c r="B32" i="67"/>
  <c r="D14" i="67"/>
  <c r="C14" i="67" s="1"/>
  <c r="L14" i="67" s="1"/>
  <c r="D15" i="67"/>
  <c r="C15" i="67" s="1"/>
  <c r="L15" i="67" s="1"/>
  <c r="J24" i="67"/>
  <c r="J14" i="67"/>
  <c r="J53" i="67"/>
  <c r="J52" i="67" s="1"/>
  <c r="H52" i="67" s="1"/>
  <c r="J70" i="67"/>
  <c r="H70" i="67" s="1"/>
  <c r="L70" i="67"/>
  <c r="J36" i="67"/>
  <c r="L36" i="67"/>
  <c r="L34" i="67" s="1"/>
  <c r="L52" i="67"/>
  <c r="J29" i="67"/>
  <c r="L29" i="67"/>
  <c r="D49" i="67"/>
  <c r="C48" i="67"/>
  <c r="C13" i="67"/>
  <c r="L20" i="67"/>
  <c r="D32" i="67"/>
  <c r="C32" i="67" s="1"/>
  <c r="D20" i="67"/>
  <c r="G48" i="67"/>
  <c r="G47" i="67" s="1"/>
  <c r="G51" i="67"/>
  <c r="L61" i="67"/>
  <c r="J61" i="67"/>
  <c r="J59" i="67" s="1"/>
  <c r="H59" i="67" s="1"/>
  <c r="D34" i="67"/>
  <c r="C33" i="67"/>
  <c r="D33" i="67" s="1"/>
  <c r="L56" i="67"/>
  <c r="D56" i="67"/>
  <c r="C55" i="67"/>
  <c r="D55" i="67" s="1"/>
  <c r="C16" i="67"/>
  <c r="D16" i="67" s="1"/>
  <c r="L17" i="67"/>
  <c r="J17" i="67"/>
  <c r="J56" i="67"/>
  <c r="H56" i="67" s="1"/>
  <c r="C27" i="67"/>
  <c r="L28" i="67"/>
  <c r="J28" i="67"/>
  <c r="J25" i="67"/>
  <c r="L25" i="67"/>
  <c r="B66" i="67"/>
  <c r="B64" i="67"/>
  <c r="D70" i="67"/>
  <c r="C69" i="67"/>
  <c r="D69" i="67" s="1"/>
  <c r="C23" i="67"/>
  <c r="D23" i="67" s="1"/>
  <c r="V15" i="57"/>
  <c r="C16" i="65"/>
  <c r="C23" i="65"/>
  <c r="I23" i="65" s="1"/>
  <c r="D15" i="65"/>
  <c r="C15" i="65" s="1"/>
  <c r="B17" i="65"/>
  <c r="D11" i="65"/>
  <c r="C11" i="65" s="1"/>
  <c r="D12" i="65"/>
  <c r="C12" i="65" s="1"/>
  <c r="C29" i="65"/>
  <c r="C30" i="65"/>
  <c r="B26" i="65"/>
  <c r="D26" i="65" s="1"/>
  <c r="C26" i="65" s="1"/>
  <c r="C25" i="65"/>
  <c r="B22" i="65"/>
  <c r="I22" i="44"/>
  <c r="B8" i="65" l="1"/>
  <c r="B9" i="65" s="1"/>
  <c r="G12" i="65"/>
  <c r="I12" i="65"/>
  <c r="G11" i="65"/>
  <c r="I11" i="65"/>
  <c r="G15" i="65"/>
  <c r="I15" i="65"/>
  <c r="G30" i="65"/>
  <c r="I30" i="65"/>
  <c r="G26" i="65"/>
  <c r="I26" i="65"/>
  <c r="G29" i="65"/>
  <c r="I29" i="65"/>
  <c r="G16" i="65"/>
  <c r="I16" i="65"/>
  <c r="G25" i="65"/>
  <c r="I25" i="65"/>
  <c r="G23" i="65"/>
  <c r="I117" i="63"/>
  <c r="I116" i="63" s="1"/>
  <c r="I120" i="63"/>
  <c r="G120" i="63"/>
  <c r="Q120" i="63" s="1"/>
  <c r="G117" i="63"/>
  <c r="G116" i="63" s="1"/>
  <c r="Q116" i="63" s="1"/>
  <c r="Q49" i="63"/>
  <c r="J15" i="67"/>
  <c r="J13" i="67"/>
  <c r="H13" i="67" s="1"/>
  <c r="I13" i="67" s="1"/>
  <c r="B50" i="67"/>
  <c r="B51" i="67" s="1"/>
  <c r="D64" i="67"/>
  <c r="C64" i="67" s="1"/>
  <c r="D13" i="67"/>
  <c r="C12" i="67"/>
  <c r="J51" i="67"/>
  <c r="L51" i="67"/>
  <c r="L23" i="67"/>
  <c r="L19" i="67" s="1"/>
  <c r="L59" i="67"/>
  <c r="L55" i="67" s="1"/>
  <c r="L33" i="67"/>
  <c r="I59" i="67"/>
  <c r="B68" i="67"/>
  <c r="D68" i="67" s="1"/>
  <c r="C68" i="67" s="1"/>
  <c r="B67" i="67"/>
  <c r="D67" i="67" s="1"/>
  <c r="C67" i="67" s="1"/>
  <c r="D48" i="67"/>
  <c r="C47" i="67"/>
  <c r="L69" i="67"/>
  <c r="J23" i="67"/>
  <c r="H23" i="67" s="1"/>
  <c r="I23" i="67" s="1"/>
  <c r="C19" i="67"/>
  <c r="D19" i="67" s="1"/>
  <c r="J27" i="67"/>
  <c r="H27" i="67" s="1"/>
  <c r="I27" i="67" s="1"/>
  <c r="D31" i="67"/>
  <c r="C31" i="67" s="1"/>
  <c r="L27" i="67"/>
  <c r="J16" i="67"/>
  <c r="H16" i="67" s="1"/>
  <c r="I16" i="67" s="1"/>
  <c r="L32" i="67"/>
  <c r="J32" i="67"/>
  <c r="L13" i="67"/>
  <c r="D27" i="67"/>
  <c r="L16" i="67"/>
  <c r="J34" i="67"/>
  <c r="H34" i="67" s="1"/>
  <c r="I34" i="67" s="1"/>
  <c r="J69" i="67"/>
  <c r="H69" i="67" s="1"/>
  <c r="I70" i="67"/>
  <c r="J55" i="67"/>
  <c r="H55" i="67" s="1"/>
  <c r="I56" i="67"/>
  <c r="I52" i="67"/>
  <c r="C10" i="65"/>
  <c r="D10" i="65" s="1"/>
  <c r="C24" i="65"/>
  <c r="D24" i="65" s="1"/>
  <c r="C28" i="65"/>
  <c r="D9" i="65"/>
  <c r="C9" i="65" s="1"/>
  <c r="D22" i="65"/>
  <c r="C22" i="65" s="1"/>
  <c r="C14" i="65"/>
  <c r="D19" i="65"/>
  <c r="C19" i="65" s="1"/>
  <c r="D18" i="65"/>
  <c r="C18" i="65" s="1"/>
  <c r="V16" i="57"/>
  <c r="V12" i="57" s="1"/>
  <c r="V11" i="57" s="1"/>
  <c r="D8" i="65" l="1"/>
  <c r="C8" i="65" s="1"/>
  <c r="I8" i="65" s="1"/>
  <c r="G8" i="65"/>
  <c r="G9" i="65"/>
  <c r="I9" i="65"/>
  <c r="G22" i="65"/>
  <c r="I22" i="65"/>
  <c r="G18" i="65"/>
  <c r="I18" i="65"/>
  <c r="G19" i="65"/>
  <c r="I19" i="65"/>
  <c r="Q118" i="63"/>
  <c r="L64" i="67"/>
  <c r="J64" i="67"/>
  <c r="C63" i="67"/>
  <c r="J49" i="67"/>
  <c r="H49" i="67" s="1"/>
  <c r="L12" i="67"/>
  <c r="L49" i="67"/>
  <c r="I69" i="67"/>
  <c r="J67" i="67"/>
  <c r="C66" i="67"/>
  <c r="D66" i="67" s="1"/>
  <c r="L67" i="67"/>
  <c r="J19" i="67"/>
  <c r="J68" i="67"/>
  <c r="L68" i="67"/>
  <c r="J33" i="67"/>
  <c r="H33" i="67" s="1"/>
  <c r="I33" i="67" s="1"/>
  <c r="C30" i="67"/>
  <c r="L31" i="67"/>
  <c r="J31" i="67"/>
  <c r="J12" i="67"/>
  <c r="H12" i="67" s="1"/>
  <c r="I12" i="67" s="1"/>
  <c r="D12" i="67"/>
  <c r="C11" i="67"/>
  <c r="I55" i="67"/>
  <c r="B47" i="67"/>
  <c r="L47" i="67"/>
  <c r="D14" i="65"/>
  <c r="G10" i="65"/>
  <c r="E10" i="65" s="1"/>
  <c r="G14" i="65"/>
  <c r="E14" i="65" s="1"/>
  <c r="I28" i="65"/>
  <c r="I24" i="65"/>
  <c r="G28" i="65"/>
  <c r="E28" i="65" s="1"/>
  <c r="I14" i="65"/>
  <c r="C27" i="65"/>
  <c r="D27" i="65" s="1"/>
  <c r="D28" i="65"/>
  <c r="C21" i="65"/>
  <c r="G24" i="65"/>
  <c r="E24" i="65" s="1"/>
  <c r="C17" i="65"/>
  <c r="D17" i="65" s="1"/>
  <c r="I10" i="65"/>
  <c r="C7" i="65" l="1"/>
  <c r="D7" i="65" s="1"/>
  <c r="Q117" i="63"/>
  <c r="B11" i="67"/>
  <c r="H19" i="67"/>
  <c r="I19" i="67" s="1"/>
  <c r="L30" i="67"/>
  <c r="D30" i="67"/>
  <c r="C26" i="67"/>
  <c r="D26" i="67" s="1"/>
  <c r="J30" i="67"/>
  <c r="H30" i="67" s="1"/>
  <c r="I30" i="67" s="1"/>
  <c r="I49" i="67"/>
  <c r="J48" i="67"/>
  <c r="H48" i="67" s="1"/>
  <c r="L11" i="67"/>
  <c r="J11" i="67"/>
  <c r="L63" i="67"/>
  <c r="L66" i="67"/>
  <c r="L48" i="67"/>
  <c r="D63" i="67"/>
  <c r="C62" i="67"/>
  <c r="D62" i="67" s="1"/>
  <c r="J66" i="67"/>
  <c r="H66" i="67" s="1"/>
  <c r="J63" i="67"/>
  <c r="H63" i="67" s="1"/>
  <c r="D21" i="65"/>
  <c r="C20" i="65"/>
  <c r="D20" i="65" s="1"/>
  <c r="C6" i="65"/>
  <c r="G21" i="65"/>
  <c r="E21" i="65" s="1"/>
  <c r="F14" i="65"/>
  <c r="G7" i="65"/>
  <c r="I21" i="65"/>
  <c r="I7" i="65"/>
  <c r="I17" i="65"/>
  <c r="I13" i="65" s="1"/>
  <c r="F10" i="65"/>
  <c r="G17" i="65"/>
  <c r="I27" i="65"/>
  <c r="C13" i="65"/>
  <c r="D13" i="65" s="1"/>
  <c r="F24" i="65"/>
  <c r="G27" i="65"/>
  <c r="E27" i="65" s="1"/>
  <c r="F28" i="65"/>
  <c r="E7" i="65" l="1"/>
  <c r="F7" i="65" s="1"/>
  <c r="G13" i="65"/>
  <c r="E13" i="65" s="1"/>
  <c r="F13" i="65" s="1"/>
  <c r="E17" i="65"/>
  <c r="Q115" i="63"/>
  <c r="L62" i="67"/>
  <c r="J10" i="67"/>
  <c r="C80" i="63" s="1"/>
  <c r="J62" i="67"/>
  <c r="H62" i="67" s="1"/>
  <c r="I63" i="67"/>
  <c r="I48" i="67"/>
  <c r="L10" i="67"/>
  <c r="M30" i="67" s="1"/>
  <c r="L46" i="67"/>
  <c r="M48" i="67" s="1"/>
  <c r="J26" i="67"/>
  <c r="H26" i="67" s="1"/>
  <c r="I26" i="67" s="1"/>
  <c r="I66" i="67"/>
  <c r="L26" i="67"/>
  <c r="I6" i="65"/>
  <c r="I20" i="65"/>
  <c r="G20" i="65"/>
  <c r="E20" i="65" s="1"/>
  <c r="F21" i="65"/>
  <c r="G6" i="65"/>
  <c r="D6" i="65"/>
  <c r="C5" i="65"/>
  <c r="F17" i="65"/>
  <c r="F27" i="65"/>
  <c r="G80" i="63" l="1"/>
  <c r="G83" i="63" s="1"/>
  <c r="I80" i="63"/>
  <c r="E80" i="63"/>
  <c r="E83" i="63" s="1"/>
  <c r="G5" i="65"/>
  <c r="G4" i="65" s="1"/>
  <c r="E4" i="65" s="1"/>
  <c r="I5" i="65"/>
  <c r="I4" i="65" s="1"/>
  <c r="E6" i="65"/>
  <c r="F6" i="65" s="1"/>
  <c r="K63" i="67"/>
  <c r="B132" i="63" s="1"/>
  <c r="D132" i="63" s="1"/>
  <c r="H46" i="67"/>
  <c r="I46" i="67" s="1"/>
  <c r="K11" i="67"/>
  <c r="B81" i="63" s="1"/>
  <c r="D81" i="63" s="1"/>
  <c r="H10" i="67"/>
  <c r="I10" i="67" s="1"/>
  <c r="K30" i="67"/>
  <c r="B100" i="63" s="1"/>
  <c r="D100" i="63" s="1"/>
  <c r="M26" i="67"/>
  <c r="M11" i="67"/>
  <c r="K62" i="67"/>
  <c r="B131" i="63" s="1"/>
  <c r="D131" i="63" s="1"/>
  <c r="I62" i="67"/>
  <c r="M72" i="67"/>
  <c r="M50" i="67"/>
  <c r="M58" i="67"/>
  <c r="M65" i="67"/>
  <c r="M54" i="67"/>
  <c r="M53" i="67"/>
  <c r="M60" i="67"/>
  <c r="M57" i="67"/>
  <c r="M71" i="67"/>
  <c r="M61" i="67"/>
  <c r="M70" i="67"/>
  <c r="M56" i="67"/>
  <c r="M52" i="67"/>
  <c r="M51" i="67"/>
  <c r="M55" i="67"/>
  <c r="M69" i="67"/>
  <c r="M59" i="67"/>
  <c r="M49" i="67"/>
  <c r="M47" i="67"/>
  <c r="M68" i="67"/>
  <c r="M64" i="67"/>
  <c r="M67" i="67"/>
  <c r="M66" i="67"/>
  <c r="M21" i="67"/>
  <c r="M14" i="67"/>
  <c r="M18" i="67"/>
  <c r="M35" i="67"/>
  <c r="M24" i="67"/>
  <c r="M22" i="67"/>
  <c r="M17" i="67"/>
  <c r="M25" i="67"/>
  <c r="M20" i="67"/>
  <c r="M29" i="67"/>
  <c r="M34" i="67"/>
  <c r="M15" i="67"/>
  <c r="M36" i="67"/>
  <c r="M28" i="67"/>
  <c r="M23" i="67"/>
  <c r="M16" i="67"/>
  <c r="M19" i="67"/>
  <c r="M27" i="67"/>
  <c r="M13" i="67"/>
  <c r="M32" i="67"/>
  <c r="M33" i="67"/>
  <c r="M31" i="67"/>
  <c r="M12" i="67"/>
  <c r="K35" i="67"/>
  <c r="B105" i="63" s="1"/>
  <c r="D105" i="63" s="1"/>
  <c r="C105" i="63" s="1"/>
  <c r="K18" i="67"/>
  <c r="B88" i="63" s="1"/>
  <c r="D88" i="63" s="1"/>
  <c r="C88" i="63" s="1"/>
  <c r="K24" i="67"/>
  <c r="B94" i="63" s="1"/>
  <c r="D94" i="63" s="1"/>
  <c r="C94" i="63" s="1"/>
  <c r="K14" i="67"/>
  <c r="B84" i="63" s="1"/>
  <c r="D84" i="63" s="1"/>
  <c r="C84" i="63" s="1"/>
  <c r="K22" i="67"/>
  <c r="B92" i="63" s="1"/>
  <c r="D92" i="63" s="1"/>
  <c r="C92" i="63" s="1"/>
  <c r="K21" i="67"/>
  <c r="B91" i="63" s="1"/>
  <c r="D91" i="63" s="1"/>
  <c r="C91" i="63" s="1"/>
  <c r="K13" i="67"/>
  <c r="B83" i="63" s="1"/>
  <c r="D83" i="63" s="1"/>
  <c r="K28" i="67"/>
  <c r="B98" i="63" s="1"/>
  <c r="D98" i="63" s="1"/>
  <c r="C98" i="63" s="1"/>
  <c r="K17" i="67"/>
  <c r="B87" i="63" s="1"/>
  <c r="D87" i="63" s="1"/>
  <c r="C87" i="63" s="1"/>
  <c r="K36" i="67"/>
  <c r="B106" i="63" s="1"/>
  <c r="D106" i="63" s="1"/>
  <c r="C106" i="63" s="1"/>
  <c r="K20" i="67"/>
  <c r="B90" i="63" s="1"/>
  <c r="D90" i="63" s="1"/>
  <c r="K25" i="67"/>
  <c r="B95" i="63" s="1"/>
  <c r="D95" i="63" s="1"/>
  <c r="C95" i="63" s="1"/>
  <c r="K29" i="67"/>
  <c r="B99" i="63" s="1"/>
  <c r="D99" i="63" s="1"/>
  <c r="C99" i="63" s="1"/>
  <c r="K15" i="67"/>
  <c r="B85" i="63" s="1"/>
  <c r="D85" i="63" s="1"/>
  <c r="C85" i="63" s="1"/>
  <c r="K34" i="67"/>
  <c r="B104" i="63" s="1"/>
  <c r="D104" i="63" s="1"/>
  <c r="K16" i="67"/>
  <c r="B86" i="63" s="1"/>
  <c r="D86" i="63" s="1"/>
  <c r="K23" i="67"/>
  <c r="B93" i="63" s="1"/>
  <c r="D93" i="63" s="1"/>
  <c r="K32" i="67"/>
  <c r="B102" i="63" s="1"/>
  <c r="D102" i="63" s="1"/>
  <c r="C102" i="63" s="1"/>
  <c r="K27" i="67"/>
  <c r="B97" i="63" s="1"/>
  <c r="D97" i="63" s="1"/>
  <c r="K31" i="67"/>
  <c r="B101" i="63" s="1"/>
  <c r="D101" i="63" s="1"/>
  <c r="C101" i="63" s="1"/>
  <c r="K19" i="67"/>
  <c r="B89" i="63" s="1"/>
  <c r="D89" i="63" s="1"/>
  <c r="K12" i="67"/>
  <c r="B82" i="63" s="1"/>
  <c r="D82" i="63" s="1"/>
  <c r="D74" i="63" s="1"/>
  <c r="K33" i="67"/>
  <c r="B103" i="63" s="1"/>
  <c r="D103" i="63" s="1"/>
  <c r="M63" i="67"/>
  <c r="K26" i="67"/>
  <c r="B96" i="63" s="1"/>
  <c r="D96" i="63" s="1"/>
  <c r="K71" i="67"/>
  <c r="B140" i="63" s="1"/>
  <c r="D140" i="63" s="1"/>
  <c r="C140" i="63" s="1"/>
  <c r="K72" i="67"/>
  <c r="B141" i="63" s="1"/>
  <c r="D141" i="63" s="1"/>
  <c r="C141" i="63" s="1"/>
  <c r="K54" i="67"/>
  <c r="B123" i="63" s="1"/>
  <c r="D123" i="63" s="1"/>
  <c r="C123" i="63" s="1"/>
  <c r="K53" i="67"/>
  <c r="B122" i="63" s="1"/>
  <c r="D122" i="63" s="1"/>
  <c r="C122" i="63" s="1"/>
  <c r="K57" i="67"/>
  <c r="B126" i="63" s="1"/>
  <c r="D126" i="63" s="1"/>
  <c r="C126" i="63" s="1"/>
  <c r="K65" i="67"/>
  <c r="B134" i="63" s="1"/>
  <c r="D134" i="63" s="1"/>
  <c r="C134" i="63" s="1"/>
  <c r="K50" i="67"/>
  <c r="B119" i="63" s="1"/>
  <c r="D119" i="63" s="1"/>
  <c r="C119" i="63" s="1"/>
  <c r="K60" i="67"/>
  <c r="B129" i="63" s="1"/>
  <c r="D129" i="63" s="1"/>
  <c r="C129" i="63" s="1"/>
  <c r="K58" i="67"/>
  <c r="B127" i="63" s="1"/>
  <c r="D127" i="63" s="1"/>
  <c r="C127" i="63" s="1"/>
  <c r="K59" i="67"/>
  <c r="B128" i="63" s="1"/>
  <c r="D128" i="63" s="1"/>
  <c r="K56" i="67"/>
  <c r="B125" i="63" s="1"/>
  <c r="D125" i="63" s="1"/>
  <c r="K61" i="67"/>
  <c r="B130" i="63" s="1"/>
  <c r="D130" i="63" s="1"/>
  <c r="C130" i="63" s="1"/>
  <c r="K70" i="67"/>
  <c r="B139" i="63" s="1"/>
  <c r="D139" i="63" s="1"/>
  <c r="K52" i="67"/>
  <c r="B121" i="63" s="1"/>
  <c r="D121" i="63" s="1"/>
  <c r="K55" i="67"/>
  <c r="B124" i="63" s="1"/>
  <c r="D124" i="63" s="1"/>
  <c r="K69" i="67"/>
  <c r="B138" i="63" s="1"/>
  <c r="D138" i="63" s="1"/>
  <c r="K51" i="67"/>
  <c r="B120" i="63" s="1"/>
  <c r="D120" i="63" s="1"/>
  <c r="C120" i="63" s="1"/>
  <c r="K49" i="67"/>
  <c r="B118" i="63" s="1"/>
  <c r="D118" i="63" s="1"/>
  <c r="K68" i="67"/>
  <c r="B137" i="63" s="1"/>
  <c r="D137" i="63" s="1"/>
  <c r="C137" i="63" s="1"/>
  <c r="K64" i="67"/>
  <c r="B133" i="63" s="1"/>
  <c r="D133" i="63" s="1"/>
  <c r="C133" i="63" s="1"/>
  <c r="K67" i="67"/>
  <c r="B136" i="63" s="1"/>
  <c r="D136" i="63" s="1"/>
  <c r="C136" i="63" s="1"/>
  <c r="K47" i="67"/>
  <c r="B116" i="63" s="1"/>
  <c r="D116" i="63" s="1"/>
  <c r="K66" i="67"/>
  <c r="B135" i="63" s="1"/>
  <c r="D135" i="63" s="1"/>
  <c r="K48" i="67"/>
  <c r="B117" i="63" s="1"/>
  <c r="D117" i="63" s="1"/>
  <c r="D109" i="63" s="1"/>
  <c r="M62" i="67"/>
  <c r="F20" i="65"/>
  <c r="C118" i="63" l="1"/>
  <c r="M119" i="63"/>
  <c r="O119" i="63"/>
  <c r="O129" i="63"/>
  <c r="C128" i="63"/>
  <c r="M129" i="63"/>
  <c r="M128" i="63" s="1"/>
  <c r="K128" i="63" s="1"/>
  <c r="L128" i="63" s="1"/>
  <c r="O134" i="63"/>
  <c r="M134" i="63"/>
  <c r="M126" i="63"/>
  <c r="O126" i="63"/>
  <c r="C125" i="63"/>
  <c r="O133" i="63"/>
  <c r="M133" i="63"/>
  <c r="C132" i="63"/>
  <c r="C131" i="63" s="1"/>
  <c r="M122" i="63"/>
  <c r="C121" i="63"/>
  <c r="C117" i="63" s="1"/>
  <c r="C116" i="63" s="1"/>
  <c r="O122" i="63"/>
  <c r="C135" i="63"/>
  <c r="O136" i="63"/>
  <c r="M136" i="63"/>
  <c r="M135" i="63" s="1"/>
  <c r="K135" i="63" s="1"/>
  <c r="L135" i="63" s="1"/>
  <c r="M137" i="63"/>
  <c r="O137" i="63"/>
  <c r="M123" i="63"/>
  <c r="O123" i="63"/>
  <c r="M141" i="63"/>
  <c r="O141" i="63"/>
  <c r="M130" i="63"/>
  <c r="O130" i="63"/>
  <c r="M120" i="63"/>
  <c r="O120" i="63"/>
  <c r="O127" i="63"/>
  <c r="M127" i="63"/>
  <c r="O140" i="63"/>
  <c r="M140" i="63"/>
  <c r="M139" i="63" s="1"/>
  <c r="C139" i="63"/>
  <c r="C138" i="63" s="1"/>
  <c r="C97" i="63"/>
  <c r="M98" i="63"/>
  <c r="O98" i="63"/>
  <c r="M91" i="63"/>
  <c r="O91" i="63"/>
  <c r="C90" i="63"/>
  <c r="C89" i="63" s="1"/>
  <c r="O92" i="63"/>
  <c r="M92" i="63"/>
  <c r="O101" i="63"/>
  <c r="M101" i="63"/>
  <c r="C100" i="63"/>
  <c r="C96" i="63" s="1"/>
  <c r="M84" i="63"/>
  <c r="O84" i="63"/>
  <c r="C83" i="63"/>
  <c r="C82" i="63" s="1"/>
  <c r="C81" i="63" s="1"/>
  <c r="O99" i="63"/>
  <c r="M99" i="63"/>
  <c r="O94" i="63"/>
  <c r="M94" i="63"/>
  <c r="C93" i="63"/>
  <c r="E82" i="63"/>
  <c r="E81" i="63" s="1"/>
  <c r="Q81" i="63" s="1"/>
  <c r="E85" i="63"/>
  <c r="M95" i="63"/>
  <c r="O95" i="63"/>
  <c r="M102" i="63"/>
  <c r="O102" i="63"/>
  <c r="M106" i="63"/>
  <c r="O106" i="63"/>
  <c r="O88" i="63"/>
  <c r="M88" i="63"/>
  <c r="I83" i="63"/>
  <c r="O87" i="63"/>
  <c r="M87" i="63"/>
  <c r="C86" i="63"/>
  <c r="O105" i="63"/>
  <c r="O104" i="63" s="1"/>
  <c r="O103" i="63" s="1"/>
  <c r="C104" i="63"/>
  <c r="C103" i="63" s="1"/>
  <c r="M105" i="63"/>
  <c r="M104" i="63" s="1"/>
  <c r="G85" i="63"/>
  <c r="G82" i="63"/>
  <c r="G81" i="63" s="1"/>
  <c r="J5" i="65"/>
  <c r="H5" i="65"/>
  <c r="M121" i="63" l="1"/>
  <c r="K121" i="63" s="1"/>
  <c r="L121" i="63" s="1"/>
  <c r="O116" i="63"/>
  <c r="M116" i="63"/>
  <c r="M132" i="63"/>
  <c r="O132" i="63"/>
  <c r="O128" i="63"/>
  <c r="O135" i="63"/>
  <c r="C124" i="63"/>
  <c r="O118" i="63"/>
  <c r="K139" i="63"/>
  <c r="L139" i="63" s="1"/>
  <c r="M138" i="63"/>
  <c r="K138" i="63" s="1"/>
  <c r="L138" i="63" s="1"/>
  <c r="O125" i="63"/>
  <c r="M118" i="63"/>
  <c r="O139" i="63"/>
  <c r="O138" i="63" s="1"/>
  <c r="O121" i="63"/>
  <c r="M125" i="63"/>
  <c r="O90" i="63"/>
  <c r="I82" i="63"/>
  <c r="I81" i="63" s="1"/>
  <c r="O81" i="63" s="1"/>
  <c r="I85" i="63"/>
  <c r="M90" i="63"/>
  <c r="M103" i="63"/>
  <c r="K103" i="63" s="1"/>
  <c r="L103" i="63" s="1"/>
  <c r="K104" i="63"/>
  <c r="L104" i="63" s="1"/>
  <c r="M86" i="63"/>
  <c r="K86" i="63" s="1"/>
  <c r="L86" i="63" s="1"/>
  <c r="O97" i="63"/>
  <c r="O96" i="63" s="1"/>
  <c r="Q85" i="63"/>
  <c r="Q83" i="63" s="1"/>
  <c r="Q82" i="63" s="1"/>
  <c r="Q80" i="63" s="1"/>
  <c r="O86" i="63"/>
  <c r="M93" i="63"/>
  <c r="K93" i="63" s="1"/>
  <c r="L93" i="63" s="1"/>
  <c r="M100" i="63"/>
  <c r="K100" i="63" s="1"/>
  <c r="L100" i="63" s="1"/>
  <c r="M97" i="63"/>
  <c r="O93" i="63"/>
  <c r="O100" i="63"/>
  <c r="J16" i="65"/>
  <c r="J23" i="65"/>
  <c r="J29" i="65"/>
  <c r="J11" i="65"/>
  <c r="J15" i="65"/>
  <c r="J30" i="65"/>
  <c r="J25" i="65"/>
  <c r="J26" i="65"/>
  <c r="J12" i="65"/>
  <c r="J19" i="65"/>
  <c r="J10" i="65"/>
  <c r="J9" i="65"/>
  <c r="J22" i="65"/>
  <c r="J8" i="65"/>
  <c r="J24" i="65"/>
  <c r="J14" i="65"/>
  <c r="J18" i="65"/>
  <c r="J28" i="65"/>
  <c r="J21" i="65"/>
  <c r="J27" i="65"/>
  <c r="J17" i="65"/>
  <c r="J13" i="65"/>
  <c r="J7" i="65"/>
  <c r="J6" i="65"/>
  <c r="J20" i="65"/>
  <c r="F4" i="65"/>
  <c r="H23" i="65"/>
  <c r="H16" i="65"/>
  <c r="H26" i="65"/>
  <c r="H11" i="65"/>
  <c r="H30" i="65"/>
  <c r="H12" i="65"/>
  <c r="H15" i="65"/>
  <c r="H29" i="65"/>
  <c r="H25" i="65"/>
  <c r="H14" i="65"/>
  <c r="H19" i="65"/>
  <c r="H18" i="65"/>
  <c r="H9" i="65"/>
  <c r="H8" i="65"/>
  <c r="H24" i="65"/>
  <c r="H22" i="65"/>
  <c r="H10" i="65"/>
  <c r="H28" i="65"/>
  <c r="H13" i="65"/>
  <c r="H27" i="65"/>
  <c r="H17" i="65"/>
  <c r="H21" i="65"/>
  <c r="H7" i="65"/>
  <c r="H6" i="65"/>
  <c r="H20" i="65"/>
  <c r="O131" i="63" l="1"/>
  <c r="O124" i="63"/>
  <c r="M131" i="63"/>
  <c r="K131" i="63" s="1"/>
  <c r="L131" i="63" s="1"/>
  <c r="K132" i="63"/>
  <c r="L132" i="63" s="1"/>
  <c r="M115" i="63"/>
  <c r="K115" i="63" s="1"/>
  <c r="L115" i="63" s="1"/>
  <c r="O115" i="63"/>
  <c r="K125" i="63"/>
  <c r="L125" i="63" s="1"/>
  <c r="M124" i="63"/>
  <c r="K124" i="63" s="1"/>
  <c r="L124" i="63" s="1"/>
  <c r="K118" i="63"/>
  <c r="L118" i="63" s="1"/>
  <c r="M117" i="63"/>
  <c r="K117" i="63" s="1"/>
  <c r="L117" i="63" s="1"/>
  <c r="O117" i="63" s="1"/>
  <c r="M85" i="63"/>
  <c r="M83" i="63" s="1"/>
  <c r="O85" i="63"/>
  <c r="O83" i="63" s="1"/>
  <c r="O89" i="63"/>
  <c r="M96" i="63"/>
  <c r="K96" i="63" s="1"/>
  <c r="L96" i="63" s="1"/>
  <c r="K97" i="63"/>
  <c r="L97" i="63" s="1"/>
  <c r="M81" i="63"/>
  <c r="K90" i="63"/>
  <c r="L90" i="63" s="1"/>
  <c r="M89" i="63"/>
  <c r="K89" i="63" s="1"/>
  <c r="L89" i="63" s="1"/>
  <c r="B65" i="47"/>
  <c r="B63" i="47" s="1"/>
  <c r="B66" i="47" s="1"/>
  <c r="L36" i="63"/>
  <c r="L35" i="63"/>
  <c r="L32" i="63"/>
  <c r="L31" i="63"/>
  <c r="L29" i="63"/>
  <c r="L28" i="63"/>
  <c r="L25" i="63"/>
  <c r="L24" i="63"/>
  <c r="L22" i="63"/>
  <c r="L21" i="63"/>
  <c r="L18" i="63"/>
  <c r="L17" i="63"/>
  <c r="L15" i="63"/>
  <c r="L14" i="63"/>
  <c r="L11" i="63"/>
  <c r="I8" i="63"/>
  <c r="G8" i="63"/>
  <c r="E8" i="63"/>
  <c r="I6" i="63"/>
  <c r="G6" i="63"/>
  <c r="E6" i="63"/>
  <c r="M82" i="63" l="1"/>
  <c r="K82" i="63" s="1"/>
  <c r="L82" i="63" s="1"/>
  <c r="O82" i="63" s="1"/>
  <c r="O80" i="63" s="1"/>
  <c r="K83" i="63"/>
  <c r="L83" i="63" s="1"/>
  <c r="O18" i="44"/>
  <c r="O20" i="44" s="1"/>
  <c r="G19" i="44"/>
  <c r="J20" i="44"/>
  <c r="K20" i="44"/>
  <c r="L20" i="44"/>
  <c r="M20" i="44"/>
  <c r="N20" i="44"/>
  <c r="I20" i="44"/>
  <c r="K22" i="44"/>
  <c r="J26" i="44"/>
  <c r="J58" i="44"/>
  <c r="I58" i="44"/>
  <c r="M80" i="63" l="1"/>
  <c r="K80" i="63" s="1"/>
  <c r="L80" i="63" s="1"/>
  <c r="B90" i="44"/>
  <c r="F85" i="44"/>
  <c r="K41" i="44"/>
  <c r="AF14" i="60" l="1"/>
  <c r="AF15" i="60"/>
  <c r="AF17" i="60"/>
  <c r="AF18" i="60"/>
  <c r="AF21" i="60"/>
  <c r="AF22" i="60"/>
  <c r="AF24" i="60"/>
  <c r="AF25" i="60"/>
  <c r="AF28" i="60"/>
  <c r="AF29" i="60"/>
  <c r="AF31" i="60"/>
  <c r="AF32" i="60"/>
  <c r="AF35" i="60"/>
  <c r="AF36" i="60"/>
  <c r="Y8" i="60"/>
  <c r="J53" i="44"/>
  <c r="J69" i="44" s="1"/>
  <c r="I53" i="44"/>
  <c r="J51" i="44"/>
  <c r="J52" i="44" s="1"/>
  <c r="I51" i="44"/>
  <c r="I52" i="44" s="1"/>
  <c r="K54" i="44"/>
  <c r="K52" i="44"/>
  <c r="K68" i="44"/>
  <c r="K69" i="44"/>
  <c r="I68" i="44"/>
  <c r="K56" i="44"/>
  <c r="AC16" i="60"/>
  <c r="AA16" i="60"/>
  <c r="Y16" i="60"/>
  <c r="Y12" i="60" s="1"/>
  <c r="AA8" i="60"/>
  <c r="AC6" i="60"/>
  <c r="AA6" i="60"/>
  <c r="Y6" i="60"/>
  <c r="K16" i="60"/>
  <c r="M16" i="60"/>
  <c r="K49" i="44"/>
  <c r="I47" i="44"/>
  <c r="R36" i="60"/>
  <c r="R14" i="60"/>
  <c r="R15" i="60"/>
  <c r="R17" i="60"/>
  <c r="R18" i="60"/>
  <c r="R21" i="60"/>
  <c r="R22" i="60"/>
  <c r="R24" i="60"/>
  <c r="R25" i="60"/>
  <c r="R28" i="60"/>
  <c r="R29" i="60"/>
  <c r="R31" i="60"/>
  <c r="R32" i="60"/>
  <c r="R35" i="60"/>
  <c r="M8" i="60"/>
  <c r="M6" i="60"/>
  <c r="B30" i="60"/>
  <c r="B32" i="60" s="1"/>
  <c r="B27" i="60"/>
  <c r="B28" i="60" s="1"/>
  <c r="K67" i="44"/>
  <c r="O16" i="60"/>
  <c r="R11" i="60"/>
  <c r="O6" i="60"/>
  <c r="K6" i="60"/>
  <c r="F36" i="60"/>
  <c r="D36" i="60"/>
  <c r="F35" i="60"/>
  <c r="D35" i="60"/>
  <c r="F32" i="60"/>
  <c r="F31" i="60"/>
  <c r="F29" i="60"/>
  <c r="F28" i="60"/>
  <c r="F25" i="60"/>
  <c r="F24" i="60"/>
  <c r="F22" i="60"/>
  <c r="D22" i="60"/>
  <c r="B20" i="60" s="1"/>
  <c r="F21" i="60"/>
  <c r="F18" i="60"/>
  <c r="F17" i="60"/>
  <c r="F15" i="60"/>
  <c r="F14" i="60"/>
  <c r="F11" i="60"/>
  <c r="AD36" i="57"/>
  <c r="AD35" i="57"/>
  <c r="AD32" i="57"/>
  <c r="AD31" i="57"/>
  <c r="AD29" i="57"/>
  <c r="AD28" i="57"/>
  <c r="AD25" i="57"/>
  <c r="AD24" i="57"/>
  <c r="AD22" i="57"/>
  <c r="AD21" i="57"/>
  <c r="AD18" i="57"/>
  <c r="AD17" i="57"/>
  <c r="AD15" i="57"/>
  <c r="AD14" i="57"/>
  <c r="AD11" i="57"/>
  <c r="F97" i="44"/>
  <c r="AA90" i="44"/>
  <c r="AA91" i="44"/>
  <c r="AH91" i="44"/>
  <c r="AB91" i="44"/>
  <c r="AC91" i="44"/>
  <c r="AD91" i="44"/>
  <c r="AE91" i="44"/>
  <c r="AE92" i="44" s="1"/>
  <c r="AF91" i="44"/>
  <c r="AF92" i="44" s="1"/>
  <c r="AB90" i="44"/>
  <c r="AC90" i="44"/>
  <c r="AD90" i="44"/>
  <c r="AE90" i="44"/>
  <c r="AF90" i="44"/>
  <c r="AH90" i="44"/>
  <c r="N95" i="44"/>
  <c r="O95" i="44"/>
  <c r="D98" i="44" s="1"/>
  <c r="O96" i="44"/>
  <c r="O97" i="44"/>
  <c r="O98" i="44"/>
  <c r="O99" i="44"/>
  <c r="O100" i="44"/>
  <c r="O101" i="44"/>
  <c r="AA94" i="44"/>
  <c r="AR100" i="44"/>
  <c r="AQ100" i="44"/>
  <c r="AP100" i="44"/>
  <c r="AO100" i="44"/>
  <c r="AN100" i="44"/>
  <c r="AM100" i="44"/>
  <c r="AL100" i="44"/>
  <c r="AK100" i="44"/>
  <c r="AR99" i="44"/>
  <c r="AQ99" i="44"/>
  <c r="AP99" i="44"/>
  <c r="AO99" i="44"/>
  <c r="AN99" i="44"/>
  <c r="AM99" i="44"/>
  <c r="AL99" i="44"/>
  <c r="AK99" i="44"/>
  <c r="AR98" i="44"/>
  <c r="AH98" i="44" s="1"/>
  <c r="AQ98" i="44"/>
  <c r="AP98" i="44"/>
  <c r="AF98" i="44" s="1"/>
  <c r="AO98" i="44"/>
  <c r="AN98" i="44"/>
  <c r="AM98" i="44"/>
  <c r="AC98" i="44" s="1"/>
  <c r="AL98" i="44"/>
  <c r="AB98" i="44" s="1"/>
  <c r="AK98" i="44"/>
  <c r="AA98" i="44" s="1"/>
  <c r="AR97" i="44"/>
  <c r="AQ97" i="44"/>
  <c r="AP97" i="44"/>
  <c r="AO97" i="44"/>
  <c r="AN97" i="44"/>
  <c r="AM97" i="44"/>
  <c r="AL97" i="44"/>
  <c r="AK97" i="44"/>
  <c r="AR96" i="44"/>
  <c r="AQ96" i="44"/>
  <c r="AP96" i="44"/>
  <c r="AO96" i="44"/>
  <c r="AN96" i="44"/>
  <c r="AM96" i="44"/>
  <c r="AL96" i="44"/>
  <c r="AK96" i="44"/>
  <c r="AR95" i="44"/>
  <c r="AQ95" i="44"/>
  <c r="AP95" i="44"/>
  <c r="AO95" i="44"/>
  <c r="AN95" i="44"/>
  <c r="AM95" i="44"/>
  <c r="AL95" i="44"/>
  <c r="AK95" i="44"/>
  <c r="AR94" i="44"/>
  <c r="AQ94" i="44"/>
  <c r="AP94" i="44"/>
  <c r="AO94" i="44"/>
  <c r="AN94" i="44"/>
  <c r="AM94" i="44"/>
  <c r="AL94" i="44"/>
  <c r="AK94" i="44"/>
  <c r="AR93" i="44"/>
  <c r="AQ93" i="44"/>
  <c r="AP93" i="44"/>
  <c r="AO93" i="44"/>
  <c r="AN93" i="44"/>
  <c r="AM93" i="44"/>
  <c r="AL93" i="44"/>
  <c r="AK93" i="44"/>
  <c r="AR92" i="44"/>
  <c r="AQ92" i="44"/>
  <c r="AP92" i="44"/>
  <c r="AO92" i="44"/>
  <c r="AN92" i="44"/>
  <c r="AM92" i="44"/>
  <c r="AL92" i="44"/>
  <c r="AK92" i="44"/>
  <c r="AR91" i="44"/>
  <c r="AH97" i="44" s="1"/>
  <c r="AQ91" i="44"/>
  <c r="AP91" i="44"/>
  <c r="AF97" i="44" s="1"/>
  <c r="AO91" i="44"/>
  <c r="AE97" i="44" s="1"/>
  <c r="AN91" i="44"/>
  <c r="AD97" i="44" s="1"/>
  <c r="AM91" i="44"/>
  <c r="AC97" i="44" s="1"/>
  <c r="AL91" i="44"/>
  <c r="AB97" i="44" s="1"/>
  <c r="AK91" i="44"/>
  <c r="AA97" i="44" s="1"/>
  <c r="AB94" i="44"/>
  <c r="AH94" i="44"/>
  <c r="AF94" i="44"/>
  <c r="AE94" i="44"/>
  <c r="AD94" i="44"/>
  <c r="AC94" i="44"/>
  <c r="X76" i="44"/>
  <c r="P101" i="44" s="1"/>
  <c r="Q101" i="44" s="1"/>
  <c r="X77" i="44"/>
  <c r="P100" i="44" s="1"/>
  <c r="Q100" i="44" s="1"/>
  <c r="X78" i="44"/>
  <c r="P99" i="44" s="1"/>
  <c r="Q99" i="44" s="1"/>
  <c r="X79" i="44"/>
  <c r="P98" i="44" s="1"/>
  <c r="Q98" i="44" s="1"/>
  <c r="X81" i="44"/>
  <c r="P97" i="44" s="1"/>
  <c r="Q97" i="44" s="1"/>
  <c r="X82" i="44"/>
  <c r="P96" i="44" s="1"/>
  <c r="Q96" i="44" s="1"/>
  <c r="X83" i="44"/>
  <c r="P95" i="44" s="1"/>
  <c r="Q95" i="44" s="1"/>
  <c r="G97" i="44" s="1"/>
  <c r="G96" i="44" s="1"/>
  <c r="X84" i="44"/>
  <c r="X85" i="44"/>
  <c r="W129" i="44"/>
  <c r="Y129" i="44" s="1"/>
  <c r="X129" i="44"/>
  <c r="AE129" i="44" s="1"/>
  <c r="W131" i="44"/>
  <c r="Z131" i="44" s="1"/>
  <c r="W130" i="44"/>
  <c r="Z130" i="44" s="1"/>
  <c r="W132" i="44"/>
  <c r="Y132" i="44" s="1"/>
  <c r="AF132" i="44" s="1"/>
  <c r="W133" i="44"/>
  <c r="AD133" i="44" s="1"/>
  <c r="W134" i="44"/>
  <c r="Z134" i="44" s="1"/>
  <c r="W135" i="44"/>
  <c r="Z135" i="44" s="1"/>
  <c r="V130" i="44"/>
  <c r="V131" i="44" s="1"/>
  <c r="V132" i="44" s="1"/>
  <c r="V133" i="44" s="1"/>
  <c r="V134" i="44" s="1"/>
  <c r="V135" i="44" s="1"/>
  <c r="X135" i="44" s="1"/>
  <c r="AE135" i="44" s="1"/>
  <c r="V6" i="57"/>
  <c r="X36" i="57"/>
  <c r="X35" i="57"/>
  <c r="X32" i="57"/>
  <c r="X31" i="57"/>
  <c r="X29" i="57"/>
  <c r="X28" i="57"/>
  <c r="X25" i="57"/>
  <c r="X24" i="57"/>
  <c r="X22" i="57"/>
  <c r="X21" i="57"/>
  <c r="X18" i="57"/>
  <c r="X17" i="57"/>
  <c r="X15" i="57"/>
  <c r="X14" i="57"/>
  <c r="X11" i="57"/>
  <c r="K14" i="57"/>
  <c r="Q36" i="57"/>
  <c r="Q35" i="57"/>
  <c r="Q32" i="57"/>
  <c r="Q31" i="57"/>
  <c r="Q29" i="57"/>
  <c r="Q28" i="57"/>
  <c r="Q25" i="57"/>
  <c r="Q24" i="57"/>
  <c r="Q22" i="57"/>
  <c r="Q21" i="57"/>
  <c r="Q18" i="57"/>
  <c r="Q17" i="57"/>
  <c r="Q15" i="57"/>
  <c r="Q14" i="57"/>
  <c r="Q11" i="57"/>
  <c r="D29" i="57"/>
  <c r="D22" i="57"/>
  <c r="D35" i="57"/>
  <c r="B27" i="57"/>
  <c r="B30" i="57" s="1"/>
  <c r="B31" i="57" s="1"/>
  <c r="D31" i="57" s="1"/>
  <c r="AA92" i="44" l="1"/>
  <c r="J68" i="44"/>
  <c r="AD101" i="44"/>
  <c r="I55" i="44"/>
  <c r="I56" i="44" s="1"/>
  <c r="AC92" i="44"/>
  <c r="AI92" i="44" s="1"/>
  <c r="J55" i="44"/>
  <c r="J56" i="44" s="1"/>
  <c r="J54" i="44"/>
  <c r="I54" i="44"/>
  <c r="I69" i="44"/>
  <c r="B31" i="60"/>
  <c r="D31" i="60" s="1"/>
  <c r="C31" i="60" s="1"/>
  <c r="B29" i="60"/>
  <c r="D29" i="60" s="1"/>
  <c r="C29" i="60" s="1"/>
  <c r="AE101" i="44"/>
  <c r="AD98" i="44"/>
  <c r="AD92" i="44"/>
  <c r="AB92" i="44"/>
  <c r="AA101" i="44"/>
  <c r="AD99" i="44"/>
  <c r="AH92" i="44"/>
  <c r="AI94" i="44"/>
  <c r="AB99" i="44"/>
  <c r="AI90" i="44"/>
  <c r="AC101" i="44"/>
  <c r="AE98" i="44"/>
  <c r="AI98" i="44" s="1"/>
  <c r="AB101" i="44"/>
  <c r="AH101" i="44"/>
  <c r="AF101" i="44"/>
  <c r="AC99" i="44"/>
  <c r="AI91" i="44"/>
  <c r="C22" i="60"/>
  <c r="I22" i="60" s="1"/>
  <c r="C35" i="60"/>
  <c r="C36" i="60"/>
  <c r="D32" i="60"/>
  <c r="C32" i="60" s="1"/>
  <c r="B13" i="60"/>
  <c r="D18" i="60"/>
  <c r="C18" i="60" s="1"/>
  <c r="D17" i="60"/>
  <c r="C17" i="60" s="1"/>
  <c r="B23" i="60"/>
  <c r="D21" i="60"/>
  <c r="C21" i="60" s="1"/>
  <c r="AF99" i="44"/>
  <c r="AI97" i="44"/>
  <c r="AA99" i="44"/>
  <c r="AH99" i="44"/>
  <c r="Z129" i="44"/>
  <c r="N97" i="44"/>
  <c r="AD129" i="44"/>
  <c r="D87" i="44"/>
  <c r="N96" i="44"/>
  <c r="Y135" i="44"/>
  <c r="AF135" i="44" s="1"/>
  <c r="AB129" i="44"/>
  <c r="AF129" i="44"/>
  <c r="Y134" i="44"/>
  <c r="AF134" i="44" s="1"/>
  <c r="AD130" i="44"/>
  <c r="N99" i="44"/>
  <c r="AD134" i="44"/>
  <c r="Y131" i="44"/>
  <c r="AF131" i="44" s="1"/>
  <c r="N101" i="44"/>
  <c r="N98" i="44"/>
  <c r="N100" i="44"/>
  <c r="X133" i="44"/>
  <c r="AE133" i="44" s="1"/>
  <c r="X132" i="44"/>
  <c r="AE132" i="44" s="1"/>
  <c r="Y130" i="44"/>
  <c r="AF130" i="44" s="1"/>
  <c r="AD132" i="44"/>
  <c r="Z132" i="44"/>
  <c r="X130" i="44"/>
  <c r="AE130" i="44" s="1"/>
  <c r="Z133" i="44"/>
  <c r="AD135" i="44"/>
  <c r="Y133" i="44"/>
  <c r="AF133" i="44" s="1"/>
  <c r="AD131" i="44"/>
  <c r="X134" i="44"/>
  <c r="AE134" i="44" s="1"/>
  <c r="X131" i="44"/>
  <c r="AE131" i="44" s="1"/>
  <c r="D36" i="57"/>
  <c r="B32" i="57"/>
  <c r="D32" i="57" s="1"/>
  <c r="B28" i="57"/>
  <c r="D28" i="57" s="1"/>
  <c r="B18" i="57"/>
  <c r="D18" i="57" s="1"/>
  <c r="B17" i="57"/>
  <c r="D17" i="57" s="1"/>
  <c r="H79" i="44"/>
  <c r="H78" i="44"/>
  <c r="E78" i="44"/>
  <c r="F78" i="44"/>
  <c r="F79" i="44" s="1"/>
  <c r="G78" i="44"/>
  <c r="G79" i="44" s="1"/>
  <c r="I78" i="44"/>
  <c r="I79" i="44" s="1"/>
  <c r="K36" i="57"/>
  <c r="K35" i="57"/>
  <c r="K32" i="57"/>
  <c r="K31" i="57"/>
  <c r="K29" i="57"/>
  <c r="K28" i="57"/>
  <c r="K25" i="57"/>
  <c r="K24" i="57"/>
  <c r="K22" i="57"/>
  <c r="K21" i="57"/>
  <c r="K18" i="57"/>
  <c r="K17" i="57"/>
  <c r="K15" i="57"/>
  <c r="K11" i="57"/>
  <c r="G6" i="57"/>
  <c r="G17" i="60" l="1"/>
  <c r="I17" i="60"/>
  <c r="G29" i="60"/>
  <c r="I29" i="60"/>
  <c r="G18" i="60"/>
  <c r="I18" i="60"/>
  <c r="G31" i="60"/>
  <c r="I31" i="60"/>
  <c r="G32" i="60"/>
  <c r="I32" i="60"/>
  <c r="G36" i="60"/>
  <c r="I36" i="60"/>
  <c r="G35" i="60"/>
  <c r="I35" i="60"/>
  <c r="G21" i="60"/>
  <c r="I21" i="60"/>
  <c r="G22" i="60"/>
  <c r="D15" i="60"/>
  <c r="C15" i="60" s="1"/>
  <c r="D14" i="60"/>
  <c r="C14" i="60" s="1"/>
  <c r="I14" i="60" s="1"/>
  <c r="G10" i="57"/>
  <c r="G13" i="57" s="1"/>
  <c r="G15" i="57" s="1"/>
  <c r="C35" i="57"/>
  <c r="Y14" i="60"/>
  <c r="Y15" i="60"/>
  <c r="AI101" i="44"/>
  <c r="AE99" i="44"/>
  <c r="AI99" i="44" s="1"/>
  <c r="C34" i="60"/>
  <c r="C33" i="60" s="1"/>
  <c r="D33" i="60" s="1"/>
  <c r="B14" i="60"/>
  <c r="B15" i="60" s="1"/>
  <c r="D28" i="60"/>
  <c r="C28" i="60" s="1"/>
  <c r="D24" i="60"/>
  <c r="C24" i="60" s="1"/>
  <c r="D25" i="60"/>
  <c r="C25" i="60" s="1"/>
  <c r="D16" i="60"/>
  <c r="C30" i="60"/>
  <c r="D30" i="60" s="1"/>
  <c r="C20" i="60"/>
  <c r="C18" i="57"/>
  <c r="C28" i="57"/>
  <c r="H28" i="57" s="1"/>
  <c r="J79" i="44"/>
  <c r="J78" i="44" s="1"/>
  <c r="J77" i="44" s="1"/>
  <c r="AB131" i="44"/>
  <c r="AA131" i="44"/>
  <c r="AA135" i="44"/>
  <c r="AB130" i="44"/>
  <c r="AA129" i="44"/>
  <c r="AB135" i="44"/>
  <c r="AA134" i="44"/>
  <c r="AB134" i="44"/>
  <c r="AA133" i="44"/>
  <c r="AB133" i="44"/>
  <c r="AB132" i="44"/>
  <c r="AA132" i="44"/>
  <c r="AA130" i="44"/>
  <c r="C32" i="57"/>
  <c r="C29" i="57"/>
  <c r="C17" i="57"/>
  <c r="H17" i="57" s="1"/>
  <c r="C36" i="57"/>
  <c r="C31" i="57"/>
  <c r="H31" i="57" s="1"/>
  <c r="G24" i="60" l="1"/>
  <c r="I24" i="60"/>
  <c r="G28" i="60"/>
  <c r="I28" i="60"/>
  <c r="G15" i="60"/>
  <c r="I15" i="60"/>
  <c r="G25" i="60"/>
  <c r="I25" i="60"/>
  <c r="C13" i="60"/>
  <c r="D13" i="60" s="1"/>
  <c r="H29" i="57"/>
  <c r="S36" i="60"/>
  <c r="U36" i="60"/>
  <c r="S32" i="60"/>
  <c r="U32" i="60"/>
  <c r="S29" i="60"/>
  <c r="U29" i="60"/>
  <c r="G34" i="60"/>
  <c r="G33" i="60" s="1"/>
  <c r="S35" i="60"/>
  <c r="U35" i="60"/>
  <c r="U22" i="60"/>
  <c r="S22" i="60"/>
  <c r="S31" i="60"/>
  <c r="U31" i="60"/>
  <c r="S18" i="60"/>
  <c r="U18" i="60"/>
  <c r="S21" i="60"/>
  <c r="U21" i="60"/>
  <c r="S17" i="60"/>
  <c r="U17" i="60"/>
  <c r="I34" i="60"/>
  <c r="D34" i="60"/>
  <c r="G30" i="60"/>
  <c r="D20" i="60"/>
  <c r="C23" i="60"/>
  <c r="D23" i="60" s="1"/>
  <c r="G20" i="60"/>
  <c r="I20" i="60"/>
  <c r="E20" i="60" s="1"/>
  <c r="C27" i="60"/>
  <c r="C26" i="60" s="1"/>
  <c r="D26" i="60" s="1"/>
  <c r="G16" i="60"/>
  <c r="I30" i="60"/>
  <c r="E30" i="60" s="1"/>
  <c r="I16" i="60"/>
  <c r="E16" i="60" s="1"/>
  <c r="G12" i="57"/>
  <c r="G11" i="57" s="1"/>
  <c r="L31" i="57"/>
  <c r="N31" i="57"/>
  <c r="L28" i="57"/>
  <c r="N28" i="57"/>
  <c r="R28" i="57" s="1"/>
  <c r="L17" i="57"/>
  <c r="N17" i="57"/>
  <c r="H32" i="57"/>
  <c r="H35" i="57"/>
  <c r="H36" i="57"/>
  <c r="H18" i="57"/>
  <c r="C16" i="57"/>
  <c r="D16" i="57" s="1"/>
  <c r="C34" i="57"/>
  <c r="C27" i="57"/>
  <c r="C12" i="60" l="1"/>
  <c r="D12" i="60" s="1"/>
  <c r="I33" i="60"/>
  <c r="E34" i="60"/>
  <c r="S30" i="60"/>
  <c r="Q30" i="60" s="1"/>
  <c r="R30" i="60" s="1"/>
  <c r="U20" i="60"/>
  <c r="AG22" i="60"/>
  <c r="AI22" i="60"/>
  <c r="AG36" i="60"/>
  <c r="AI36" i="60"/>
  <c r="AI17" i="60"/>
  <c r="AG17" i="60"/>
  <c r="AG21" i="60"/>
  <c r="AI21" i="60"/>
  <c r="U34" i="60"/>
  <c r="U33" i="60" s="1"/>
  <c r="AG35" i="60"/>
  <c r="AI35" i="60"/>
  <c r="S20" i="60"/>
  <c r="Q20" i="60" s="1"/>
  <c r="R20" i="60" s="1"/>
  <c r="U16" i="60"/>
  <c r="AI18" i="60"/>
  <c r="AG18" i="60"/>
  <c r="S16" i="60"/>
  <c r="Q16" i="60" s="1"/>
  <c r="R16" i="60" s="1"/>
  <c r="AG29" i="60"/>
  <c r="AI29" i="60"/>
  <c r="AG31" i="60"/>
  <c r="AI31" i="60"/>
  <c r="U30" i="60"/>
  <c r="AG32" i="60"/>
  <c r="AI32" i="60"/>
  <c r="U28" i="60"/>
  <c r="U27" i="60" s="1"/>
  <c r="S28" i="60"/>
  <c r="S27" i="60" s="1"/>
  <c r="U24" i="60"/>
  <c r="S24" i="60"/>
  <c r="U25" i="60"/>
  <c r="S25" i="60"/>
  <c r="S34" i="60"/>
  <c r="Q34" i="60" s="1"/>
  <c r="R34" i="60" s="1"/>
  <c r="F34" i="60"/>
  <c r="C19" i="60"/>
  <c r="D19" i="60" s="1"/>
  <c r="F16" i="60"/>
  <c r="I13" i="60"/>
  <c r="E13" i="60" s="1"/>
  <c r="F20" i="60"/>
  <c r="I27" i="60"/>
  <c r="E27" i="60" s="1"/>
  <c r="G23" i="60"/>
  <c r="G27" i="60"/>
  <c r="I23" i="60"/>
  <c r="F30" i="60"/>
  <c r="D27" i="60"/>
  <c r="N29" i="57"/>
  <c r="H27" i="57"/>
  <c r="L29" i="57"/>
  <c r="L27" i="57" s="1"/>
  <c r="T31" i="57"/>
  <c r="R31" i="57"/>
  <c r="R17" i="57"/>
  <c r="T17" i="57"/>
  <c r="T28" i="57"/>
  <c r="N36" i="57"/>
  <c r="L36" i="57"/>
  <c r="L35" i="57"/>
  <c r="N35" i="57"/>
  <c r="H16" i="57"/>
  <c r="N18" i="57"/>
  <c r="L18" i="57"/>
  <c r="H30" i="57"/>
  <c r="N32" i="57"/>
  <c r="L32" i="57"/>
  <c r="L30" i="57" s="1"/>
  <c r="C33" i="57"/>
  <c r="D33" i="57" s="1"/>
  <c r="D34" i="57"/>
  <c r="C30" i="57"/>
  <c r="D30" i="57" s="1"/>
  <c r="H34" i="57"/>
  <c r="D27" i="57"/>
  <c r="C11" i="60" l="1"/>
  <c r="I19" i="60"/>
  <c r="E19" i="60" s="1"/>
  <c r="F19" i="60" s="1"/>
  <c r="E23" i="60"/>
  <c r="F23" i="60" s="1"/>
  <c r="E33" i="60"/>
  <c r="F33" i="60" s="1"/>
  <c r="Y17" i="57"/>
  <c r="S33" i="60"/>
  <c r="Q33" i="60" s="1"/>
  <c r="R33" i="60" s="1"/>
  <c r="AG20" i="60"/>
  <c r="AE20" i="60" s="1"/>
  <c r="AF20" i="60" s="1"/>
  <c r="S23" i="60"/>
  <c r="Q23" i="60" s="1"/>
  <c r="R23" i="60" s="1"/>
  <c r="AG16" i="60"/>
  <c r="AE16" i="60" s="1"/>
  <c r="AF16" i="60" s="1"/>
  <c r="AG24" i="60"/>
  <c r="AI24" i="60"/>
  <c r="AG28" i="60"/>
  <c r="AG27" i="60" s="1"/>
  <c r="AE27" i="60" s="1"/>
  <c r="AF27" i="60" s="1"/>
  <c r="AI28" i="60"/>
  <c r="AI27" i="60" s="1"/>
  <c r="AI16" i="60"/>
  <c r="AI30" i="60"/>
  <c r="AG30" i="60"/>
  <c r="AE30" i="60" s="1"/>
  <c r="AF30" i="60" s="1"/>
  <c r="AI34" i="60"/>
  <c r="AI33" i="60" s="1"/>
  <c r="AG34" i="60"/>
  <c r="U23" i="60"/>
  <c r="U19" i="60" s="1"/>
  <c r="AG25" i="60"/>
  <c r="AI25" i="60"/>
  <c r="AI20" i="60"/>
  <c r="L34" i="57"/>
  <c r="J34" i="57" s="1"/>
  <c r="K34" i="57" s="1"/>
  <c r="H33" i="57"/>
  <c r="N27" i="57"/>
  <c r="R29" i="57"/>
  <c r="R27" i="57" s="1"/>
  <c r="Q27" i="60"/>
  <c r="R27" i="60" s="1"/>
  <c r="U26" i="60"/>
  <c r="S26" i="60"/>
  <c r="S19" i="60"/>
  <c r="G26" i="60"/>
  <c r="I12" i="60"/>
  <c r="F13" i="60"/>
  <c r="F27" i="60"/>
  <c r="I26" i="60"/>
  <c r="E26" i="60" s="1"/>
  <c r="G19" i="60"/>
  <c r="J27" i="57"/>
  <c r="K27" i="57" s="1"/>
  <c r="H26" i="57"/>
  <c r="T29" i="57"/>
  <c r="Y29" i="57" s="1"/>
  <c r="N34" i="57"/>
  <c r="N33" i="57" s="1"/>
  <c r="Y31" i="57"/>
  <c r="AA31" i="57"/>
  <c r="Y28" i="57"/>
  <c r="AA28" i="57"/>
  <c r="AA17" i="57"/>
  <c r="J30" i="57"/>
  <c r="K30" i="57" s="1"/>
  <c r="N16" i="57"/>
  <c r="N30" i="57"/>
  <c r="T18" i="57"/>
  <c r="Y18" i="57" s="1"/>
  <c r="R18" i="57"/>
  <c r="T32" i="57"/>
  <c r="R32" i="57"/>
  <c r="R36" i="57"/>
  <c r="T36" i="57"/>
  <c r="T35" i="57"/>
  <c r="R35" i="57"/>
  <c r="C26" i="57"/>
  <c r="D26" i="57" s="1"/>
  <c r="L16" i="57"/>
  <c r="J16" i="57" s="1"/>
  <c r="L26" i="57"/>
  <c r="I11" i="60" l="1"/>
  <c r="I10" i="60" s="1"/>
  <c r="E12" i="60"/>
  <c r="F12" i="60" s="1"/>
  <c r="AI26" i="60"/>
  <c r="L33" i="57"/>
  <c r="J33" i="57" s="1"/>
  <c r="K33" i="57" s="1"/>
  <c r="J26" i="57"/>
  <c r="K26" i="57" s="1"/>
  <c r="T16" i="57"/>
  <c r="Y16" i="57"/>
  <c r="AG26" i="60"/>
  <c r="AE26" i="60" s="1"/>
  <c r="AF26" i="60" s="1"/>
  <c r="Q19" i="60"/>
  <c r="R19" i="60" s="1"/>
  <c r="AE34" i="60"/>
  <c r="AF34" i="60" s="1"/>
  <c r="AG33" i="60"/>
  <c r="AE33" i="60" s="1"/>
  <c r="AF33" i="60" s="1"/>
  <c r="AI23" i="60"/>
  <c r="AI19" i="60" s="1"/>
  <c r="Q26" i="60"/>
  <c r="R26" i="60" s="1"/>
  <c r="AG23" i="60"/>
  <c r="N26" i="57"/>
  <c r="P27" i="57"/>
  <c r="B11" i="60"/>
  <c r="F26" i="60"/>
  <c r="AE28" i="57"/>
  <c r="AG28" i="57"/>
  <c r="AE29" i="57"/>
  <c r="AG29" i="57"/>
  <c r="AE31" i="57"/>
  <c r="AG31" i="57"/>
  <c r="AE17" i="57"/>
  <c r="AG17" i="57"/>
  <c r="Y27" i="57"/>
  <c r="R34" i="57"/>
  <c r="P34" i="57" s="1"/>
  <c r="AA29" i="57"/>
  <c r="AA27" i="57" s="1"/>
  <c r="T27" i="57"/>
  <c r="AA35" i="57"/>
  <c r="Y35" i="57"/>
  <c r="AA18" i="57"/>
  <c r="AA16" i="57" s="1"/>
  <c r="AA32" i="57"/>
  <c r="AA30" i="57" s="1"/>
  <c r="Y32" i="57"/>
  <c r="AA36" i="57"/>
  <c r="Y36" i="57"/>
  <c r="R16" i="57"/>
  <c r="T30" i="57"/>
  <c r="T34" i="57"/>
  <c r="R30" i="57"/>
  <c r="R26" i="57" s="1"/>
  <c r="K16" i="57"/>
  <c r="K10" i="60" l="1"/>
  <c r="M10" i="60"/>
  <c r="W16" i="57"/>
  <c r="AE23" i="60"/>
  <c r="AF23" i="60" s="1"/>
  <c r="AG19" i="60"/>
  <c r="AE19" i="60" s="1"/>
  <c r="AF19" i="60" s="1"/>
  <c r="R33" i="57"/>
  <c r="P33" i="57" s="1"/>
  <c r="E10" i="60"/>
  <c r="W27" i="57"/>
  <c r="AE35" i="57"/>
  <c r="AG35" i="57"/>
  <c r="AG36" i="57"/>
  <c r="AE36" i="57"/>
  <c r="AE18" i="57"/>
  <c r="AG18" i="57"/>
  <c r="Y30" i="57"/>
  <c r="Y26" i="57" s="1"/>
  <c r="AE32" i="57"/>
  <c r="AG32" i="57"/>
  <c r="AA26" i="57"/>
  <c r="T26" i="57"/>
  <c r="AA34" i="57"/>
  <c r="AA33" i="57" s="1"/>
  <c r="Y34" i="57"/>
  <c r="W34" i="57" s="1"/>
  <c r="P16" i="57"/>
  <c r="P30" i="57"/>
  <c r="T33" i="57"/>
  <c r="J36" i="60" l="1"/>
  <c r="H12" i="60"/>
  <c r="H4" i="60" s="1"/>
  <c r="O10" i="60"/>
  <c r="M13" i="60"/>
  <c r="M15" i="60" s="1"/>
  <c r="K13" i="60"/>
  <c r="K15" i="60" s="1"/>
  <c r="W15" i="60" s="1"/>
  <c r="H36" i="60"/>
  <c r="H29" i="60"/>
  <c r="H21" i="60"/>
  <c r="H31" i="60"/>
  <c r="H35" i="60"/>
  <c r="H17" i="60"/>
  <c r="H32" i="60"/>
  <c r="H18" i="60"/>
  <c r="H22" i="60"/>
  <c r="H33" i="60"/>
  <c r="H14" i="60"/>
  <c r="H34" i="60"/>
  <c r="H16" i="60"/>
  <c r="H30" i="60"/>
  <c r="H28" i="60"/>
  <c r="H15" i="60"/>
  <c r="H20" i="60"/>
  <c r="H24" i="60"/>
  <c r="H25" i="60"/>
  <c r="H27" i="60"/>
  <c r="H13" i="60"/>
  <c r="H23" i="60"/>
  <c r="H26" i="60"/>
  <c r="H19" i="60"/>
  <c r="H11" i="60"/>
  <c r="F10" i="60"/>
  <c r="J35" i="60"/>
  <c r="J22" i="60"/>
  <c r="J34" i="60"/>
  <c r="J29" i="60"/>
  <c r="J32" i="60"/>
  <c r="J17" i="60"/>
  <c r="J33" i="60"/>
  <c r="J21" i="60"/>
  <c r="J18" i="60"/>
  <c r="J31" i="60"/>
  <c r="J20" i="60"/>
  <c r="J25" i="60"/>
  <c r="J15" i="60"/>
  <c r="J24" i="60"/>
  <c r="J16" i="60"/>
  <c r="J14" i="60"/>
  <c r="J28" i="60"/>
  <c r="J30" i="60"/>
  <c r="J13" i="60"/>
  <c r="J19" i="60"/>
  <c r="J23" i="60"/>
  <c r="J27" i="60"/>
  <c r="J26" i="60"/>
  <c r="J12" i="60"/>
  <c r="J11" i="60"/>
  <c r="W26" i="57"/>
  <c r="W30" i="57"/>
  <c r="Y33" i="57"/>
  <c r="W33" i="57" s="1"/>
  <c r="P26" i="57"/>
  <c r="W13" i="60" l="1"/>
  <c r="K12" i="60"/>
  <c r="K11" i="60" s="1"/>
  <c r="M12" i="60"/>
  <c r="M11" i="60" s="1"/>
  <c r="O13" i="60"/>
  <c r="O15" i="60" s="1"/>
  <c r="O12" i="60" l="1"/>
  <c r="O11" i="60" s="1"/>
  <c r="U11" i="60" l="1"/>
  <c r="U14" i="60"/>
  <c r="S14" i="60"/>
  <c r="S15" i="60"/>
  <c r="U15" i="60"/>
  <c r="AI14" i="60" l="1"/>
  <c r="AI15" i="60"/>
  <c r="S13" i="60"/>
  <c r="U13" i="60"/>
  <c r="K64" i="44"/>
  <c r="I72" i="47"/>
  <c r="D72" i="47"/>
  <c r="I71" i="47"/>
  <c r="D71" i="47"/>
  <c r="I68" i="47"/>
  <c r="I67" i="47"/>
  <c r="I65" i="47"/>
  <c r="D65" i="47"/>
  <c r="I64" i="47"/>
  <c r="I61" i="47"/>
  <c r="I60" i="47"/>
  <c r="I58" i="47"/>
  <c r="D58" i="47"/>
  <c r="B56" i="47" s="1"/>
  <c r="I57" i="47"/>
  <c r="I54" i="47"/>
  <c r="I53" i="47"/>
  <c r="D54" i="47"/>
  <c r="I51" i="47"/>
  <c r="I50" i="47"/>
  <c r="E49" i="47"/>
  <c r="I47" i="47"/>
  <c r="C17" i="45"/>
  <c r="D17" i="47"/>
  <c r="I36" i="47"/>
  <c r="D36" i="47"/>
  <c r="I35" i="47"/>
  <c r="D35" i="47"/>
  <c r="I32" i="47"/>
  <c r="I31" i="47"/>
  <c r="I29" i="47"/>
  <c r="D29" i="47"/>
  <c r="I28" i="47"/>
  <c r="B27" i="47"/>
  <c r="B28" i="47" s="1"/>
  <c r="I25" i="47"/>
  <c r="I24" i="47"/>
  <c r="I22" i="47"/>
  <c r="D22" i="47"/>
  <c r="B20" i="47" s="1"/>
  <c r="B23" i="47" s="1"/>
  <c r="D24" i="47" s="1"/>
  <c r="I21" i="47"/>
  <c r="I18" i="47"/>
  <c r="I17" i="47"/>
  <c r="I15" i="47"/>
  <c r="I14" i="47"/>
  <c r="I11" i="47"/>
  <c r="I67" i="44"/>
  <c r="I66" i="44"/>
  <c r="K45" i="44"/>
  <c r="J45" i="44"/>
  <c r="I45" i="44"/>
  <c r="I48" i="44" s="1"/>
  <c r="AI13" i="60" l="1"/>
  <c r="E16" i="47"/>
  <c r="E48" i="47"/>
  <c r="E47" i="47" s="1"/>
  <c r="U12" i="60"/>
  <c r="Q13" i="60"/>
  <c r="R13" i="60" s="1"/>
  <c r="S12" i="60"/>
  <c r="B49" i="47"/>
  <c r="D51" i="47" s="1"/>
  <c r="C51" i="47" s="1"/>
  <c r="D57" i="47"/>
  <c r="C57" i="47" s="1"/>
  <c r="B59" i="47"/>
  <c r="D60" i="47" s="1"/>
  <c r="C60" i="47" s="1"/>
  <c r="C17" i="47"/>
  <c r="B68" i="47"/>
  <c r="D68" i="47" s="1"/>
  <c r="C68" i="47" s="1"/>
  <c r="L68" i="47" s="1"/>
  <c r="B67" i="47"/>
  <c r="D67" i="47" s="1"/>
  <c r="C67" i="47" s="1"/>
  <c r="L67" i="47" s="1"/>
  <c r="B64" i="47"/>
  <c r="C58" i="47"/>
  <c r="J58" i="47" s="1"/>
  <c r="C65" i="47"/>
  <c r="C71" i="47"/>
  <c r="C72" i="47"/>
  <c r="C54" i="47"/>
  <c r="D53" i="47"/>
  <c r="C53" i="47" s="1"/>
  <c r="D18" i="47"/>
  <c r="C18" i="47" s="1"/>
  <c r="B13" i="47"/>
  <c r="D14" i="47" s="1"/>
  <c r="C14" i="47" s="1"/>
  <c r="D21" i="47"/>
  <c r="C21" i="47" s="1"/>
  <c r="C24" i="47"/>
  <c r="B30" i="47"/>
  <c r="B32" i="47" s="1"/>
  <c r="D32" i="47" s="1"/>
  <c r="C32" i="47" s="1"/>
  <c r="C35" i="47"/>
  <c r="C22" i="47"/>
  <c r="D25" i="47"/>
  <c r="C25" i="47" s="1"/>
  <c r="C36" i="47"/>
  <c r="D28" i="47"/>
  <c r="C28" i="47" s="1"/>
  <c r="C29" i="47"/>
  <c r="I50" i="44"/>
  <c r="J67" i="44"/>
  <c r="K50" i="44"/>
  <c r="J50" i="44"/>
  <c r="J65" i="44"/>
  <c r="K65" i="44"/>
  <c r="J66" i="44"/>
  <c r="K66" i="44"/>
  <c r="I65" i="44"/>
  <c r="K47" i="44"/>
  <c r="K48" i="44" s="1"/>
  <c r="J47" i="44"/>
  <c r="J48" i="44" s="1"/>
  <c r="I33" i="44"/>
  <c r="I25" i="44"/>
  <c r="K24" i="44"/>
  <c r="K25" i="44" s="1"/>
  <c r="J24" i="44"/>
  <c r="J25" i="44" s="1"/>
  <c r="H24" i="44"/>
  <c r="J33" i="44"/>
  <c r="K33" i="44"/>
  <c r="J41" i="44"/>
  <c r="I43" i="44"/>
  <c r="J43" i="44"/>
  <c r="K43" i="44"/>
  <c r="J63" i="44"/>
  <c r="K63" i="44"/>
  <c r="J64" i="44"/>
  <c r="I63" i="44"/>
  <c r="I64" i="44"/>
  <c r="J61" i="44"/>
  <c r="J62" i="44"/>
  <c r="K62" i="44"/>
  <c r="I62" i="44"/>
  <c r="I61" i="44"/>
  <c r="K37" i="44"/>
  <c r="J37" i="44"/>
  <c r="I37" i="44"/>
  <c r="G11" i="45"/>
  <c r="D36" i="45"/>
  <c r="D35" i="45"/>
  <c r="D29" i="45"/>
  <c r="B27" i="45"/>
  <c r="B30" i="45" s="1"/>
  <c r="D18" i="45"/>
  <c r="D15" i="45"/>
  <c r="M36" i="45"/>
  <c r="M35" i="45"/>
  <c r="M32" i="45"/>
  <c r="M31" i="45"/>
  <c r="M29" i="45"/>
  <c r="M28" i="45"/>
  <c r="M25" i="45"/>
  <c r="M24" i="45"/>
  <c r="M22" i="45"/>
  <c r="M21" i="45"/>
  <c r="M18" i="45"/>
  <c r="M17" i="45"/>
  <c r="M15" i="45"/>
  <c r="M14" i="45"/>
  <c r="M11" i="45"/>
  <c r="S10" i="60" l="1"/>
  <c r="Q10" i="60" s="1"/>
  <c r="L66" i="47"/>
  <c r="B28" i="45"/>
  <c r="AI12" i="60"/>
  <c r="L65" i="47"/>
  <c r="J65" i="47"/>
  <c r="J71" i="47"/>
  <c r="L71" i="47"/>
  <c r="J72" i="47"/>
  <c r="L72" i="47"/>
  <c r="J67" i="47"/>
  <c r="J68" i="47"/>
  <c r="J57" i="47"/>
  <c r="L57" i="47"/>
  <c r="L58" i="47"/>
  <c r="J60" i="47"/>
  <c r="L60" i="47"/>
  <c r="Q12" i="60"/>
  <c r="R12" i="60" s="1"/>
  <c r="U10" i="60"/>
  <c r="L53" i="47"/>
  <c r="J53" i="47"/>
  <c r="L54" i="47"/>
  <c r="J54" i="47"/>
  <c r="D50" i="47"/>
  <c r="C50" i="47" s="1"/>
  <c r="C49" i="47" s="1"/>
  <c r="D49" i="47" s="1"/>
  <c r="C56" i="47"/>
  <c r="D56" i="47" s="1"/>
  <c r="D61" i="47"/>
  <c r="C61" i="47" s="1"/>
  <c r="C59" i="47" s="1"/>
  <c r="D59" i="47" s="1"/>
  <c r="B31" i="47"/>
  <c r="D31" i="47" s="1"/>
  <c r="C31" i="47" s="1"/>
  <c r="L31" i="47" s="1"/>
  <c r="L32" i="47"/>
  <c r="J32" i="47"/>
  <c r="J25" i="47"/>
  <c r="L25" i="47"/>
  <c r="J17" i="47"/>
  <c r="L22" i="47"/>
  <c r="J22" i="47"/>
  <c r="L17" i="47"/>
  <c r="L28" i="47"/>
  <c r="J28" i="47"/>
  <c r="L35" i="47"/>
  <c r="J35" i="47"/>
  <c r="L21" i="47"/>
  <c r="J21" i="47"/>
  <c r="L36" i="47"/>
  <c r="J36" i="47"/>
  <c r="J29" i="47"/>
  <c r="L29" i="47"/>
  <c r="J24" i="47"/>
  <c r="L24" i="47"/>
  <c r="D64" i="47"/>
  <c r="C64" i="47" s="1"/>
  <c r="B50" i="47"/>
  <c r="B51" i="47" s="1"/>
  <c r="C52" i="47"/>
  <c r="D52" i="47" s="1"/>
  <c r="C70" i="47"/>
  <c r="C66" i="47"/>
  <c r="D66" i="47" s="1"/>
  <c r="J14" i="47"/>
  <c r="L14" i="47"/>
  <c r="C16" i="47"/>
  <c r="D16" i="47" s="1"/>
  <c r="J18" i="47"/>
  <c r="L18" i="47"/>
  <c r="D15" i="47"/>
  <c r="C15" i="47" s="1"/>
  <c r="C23" i="47"/>
  <c r="D23" i="47" s="1"/>
  <c r="C20" i="47"/>
  <c r="D20" i="47" s="1"/>
  <c r="C34" i="47"/>
  <c r="D34" i="47" s="1"/>
  <c r="C27" i="47"/>
  <c r="B32" i="45"/>
  <c r="D32" i="45" s="1"/>
  <c r="B31" i="45"/>
  <c r="D31" i="45" s="1"/>
  <c r="G36" i="45"/>
  <c r="G35" i="45"/>
  <c r="G32" i="45"/>
  <c r="G31" i="45"/>
  <c r="G29" i="45"/>
  <c r="G28" i="45"/>
  <c r="G25" i="45"/>
  <c r="G24" i="45"/>
  <c r="G22" i="45"/>
  <c r="D22" i="45"/>
  <c r="G21" i="45"/>
  <c r="G18" i="45"/>
  <c r="G17" i="45"/>
  <c r="G15" i="45"/>
  <c r="G14" i="45"/>
  <c r="V12" i="60" l="1"/>
  <c r="C30" i="47"/>
  <c r="D30" i="47" s="1"/>
  <c r="B14" i="47"/>
  <c r="B15" i="47" s="1"/>
  <c r="J31" i="47"/>
  <c r="J50" i="47"/>
  <c r="L51" i="47"/>
  <c r="D28" i="45"/>
  <c r="C28" i="45" s="1"/>
  <c r="B14" i="45"/>
  <c r="B15" i="45" s="1"/>
  <c r="AA10" i="60"/>
  <c r="AA13" i="60" s="1"/>
  <c r="AI10" i="60"/>
  <c r="L64" i="47"/>
  <c r="J64" i="47"/>
  <c r="L61" i="47"/>
  <c r="L59" i="47" s="1"/>
  <c r="J61" i="47"/>
  <c r="J59" i="47" s="1"/>
  <c r="H59" i="47" s="1"/>
  <c r="V27" i="60"/>
  <c r="V28" i="60"/>
  <c r="V31" i="60"/>
  <c r="V35" i="60"/>
  <c r="V22" i="60"/>
  <c r="V18" i="60"/>
  <c r="V21" i="60"/>
  <c r="V16" i="60"/>
  <c r="V23" i="60"/>
  <c r="V36" i="60"/>
  <c r="V26" i="60"/>
  <c r="V29" i="60"/>
  <c r="V32" i="60"/>
  <c r="V17" i="60"/>
  <c r="V33" i="60"/>
  <c r="V34" i="60"/>
  <c r="V20" i="60"/>
  <c r="V24" i="60"/>
  <c r="V19" i="60"/>
  <c r="V25" i="60"/>
  <c r="V30" i="60"/>
  <c r="V11" i="60"/>
  <c r="V15" i="60"/>
  <c r="V14" i="60"/>
  <c r="V13" i="60"/>
  <c r="R10" i="60"/>
  <c r="T35" i="60"/>
  <c r="T29" i="60"/>
  <c r="T24" i="60"/>
  <c r="T23" i="60"/>
  <c r="T26" i="60"/>
  <c r="T28" i="60"/>
  <c r="T27" i="60"/>
  <c r="T21" i="60"/>
  <c r="T22" i="60"/>
  <c r="T32" i="60"/>
  <c r="T31" i="60"/>
  <c r="T36" i="60"/>
  <c r="T17" i="60"/>
  <c r="T33" i="60"/>
  <c r="T25" i="60"/>
  <c r="T19" i="60"/>
  <c r="T30" i="60"/>
  <c r="T16" i="60"/>
  <c r="T20" i="60"/>
  <c r="T18" i="60"/>
  <c r="T34" i="60"/>
  <c r="T15" i="60"/>
  <c r="T11" i="60"/>
  <c r="T14" i="60"/>
  <c r="T13" i="60"/>
  <c r="T12" i="60"/>
  <c r="L23" i="47"/>
  <c r="L20" i="47"/>
  <c r="C33" i="47"/>
  <c r="D33" i="47" s="1"/>
  <c r="C55" i="47"/>
  <c r="D55" i="47" s="1"/>
  <c r="L34" i="47"/>
  <c r="L33" i="47" s="1"/>
  <c r="L52" i="47"/>
  <c r="L56" i="47"/>
  <c r="C48" i="47"/>
  <c r="J70" i="47"/>
  <c r="H70" i="47" s="1"/>
  <c r="J56" i="47"/>
  <c r="H56" i="47" s="1"/>
  <c r="D70" i="47"/>
  <c r="C69" i="47"/>
  <c r="D69" i="47" s="1"/>
  <c r="J66" i="47"/>
  <c r="H66" i="47" s="1"/>
  <c r="L70" i="47"/>
  <c r="C63" i="47"/>
  <c r="J52" i="47"/>
  <c r="H52" i="47" s="1"/>
  <c r="L15" i="47"/>
  <c r="J15" i="47"/>
  <c r="C13" i="47"/>
  <c r="D13" i="47" s="1"/>
  <c r="C19" i="47"/>
  <c r="D19" i="47" s="1"/>
  <c r="L30" i="47"/>
  <c r="L27" i="47"/>
  <c r="C26" i="47"/>
  <c r="D26" i="47" s="1"/>
  <c r="D27" i="47"/>
  <c r="C29" i="45"/>
  <c r="C22" i="45"/>
  <c r="B20" i="45"/>
  <c r="D21" i="45" s="1"/>
  <c r="C21" i="45" s="1"/>
  <c r="C18" i="45"/>
  <c r="C16" i="45" s="1"/>
  <c r="D16" i="45" s="1"/>
  <c r="E5" i="45"/>
  <c r="C36" i="45"/>
  <c r="C31" i="45"/>
  <c r="C35" i="45"/>
  <c r="C32" i="45"/>
  <c r="C15" i="45"/>
  <c r="E6" i="43"/>
  <c r="G13" i="43"/>
  <c r="G14" i="43"/>
  <c r="G16" i="43"/>
  <c r="G17" i="43"/>
  <c r="G20" i="43"/>
  <c r="G21" i="43"/>
  <c r="G23" i="43"/>
  <c r="G27" i="43"/>
  <c r="G30" i="43"/>
  <c r="G34" i="43"/>
  <c r="G10" i="43"/>
  <c r="I41" i="44"/>
  <c r="O67" i="44"/>
  <c r="P67" i="44" s="1"/>
  <c r="K60" i="44"/>
  <c r="J60" i="44"/>
  <c r="I60" i="44"/>
  <c r="I59" i="44"/>
  <c r="K38" i="44"/>
  <c r="K39" i="44" s="1"/>
  <c r="J38" i="44"/>
  <c r="J39" i="44" s="1"/>
  <c r="I38" i="44"/>
  <c r="I39" i="44" s="1"/>
  <c r="J35" i="44"/>
  <c r="I35" i="44"/>
  <c r="J31" i="44"/>
  <c r="I31" i="44"/>
  <c r="I29" i="44"/>
  <c r="J27" i="44"/>
  <c r="I27" i="44"/>
  <c r="K26" i="44"/>
  <c r="K23" i="44"/>
  <c r="I23" i="44"/>
  <c r="H18" i="44"/>
  <c r="H22" i="44" s="1"/>
  <c r="H11" i="44"/>
  <c r="F11" i="44" s="1"/>
  <c r="G10" i="44"/>
  <c r="H10" i="44" s="1"/>
  <c r="I10" i="44" s="1"/>
  <c r="H9" i="44"/>
  <c r="F9" i="44" s="1"/>
  <c r="H8" i="44"/>
  <c r="H7" i="44"/>
  <c r="F7" i="44"/>
  <c r="H6" i="44"/>
  <c r="L6" i="44" s="1"/>
  <c r="D6" i="44"/>
  <c r="F6" i="44" s="1"/>
  <c r="W20" i="60" l="1"/>
  <c r="W23" i="60"/>
  <c r="W16" i="60"/>
  <c r="W34" i="60"/>
  <c r="W30" i="60"/>
  <c r="L50" i="47"/>
  <c r="L49" i="47" s="1"/>
  <c r="L48" i="47" s="1"/>
  <c r="J51" i="47"/>
  <c r="J49" i="47" s="1"/>
  <c r="H49" i="47" s="1"/>
  <c r="E6" i="45"/>
  <c r="E7" i="45" s="1"/>
  <c r="AJ34" i="60"/>
  <c r="AJ16" i="60"/>
  <c r="AJ30" i="60"/>
  <c r="AJ28" i="60"/>
  <c r="AJ35" i="60"/>
  <c r="AJ29" i="60"/>
  <c r="AJ25" i="60"/>
  <c r="AJ31" i="60"/>
  <c r="AJ32" i="60"/>
  <c r="AJ26" i="60"/>
  <c r="AJ17" i="60"/>
  <c r="AJ20" i="60"/>
  <c r="AJ23" i="60"/>
  <c r="AJ19" i="60"/>
  <c r="AJ22" i="60"/>
  <c r="AJ27" i="60"/>
  <c r="AJ36" i="60"/>
  <c r="AJ24" i="60"/>
  <c r="AJ18" i="60"/>
  <c r="AJ21" i="60"/>
  <c r="AJ33" i="60"/>
  <c r="AJ11" i="60"/>
  <c r="AJ15" i="60"/>
  <c r="AJ14" i="60"/>
  <c r="AJ13" i="60"/>
  <c r="AJ12" i="60"/>
  <c r="AC13" i="60"/>
  <c r="L19" i="47"/>
  <c r="J23" i="44"/>
  <c r="I7" i="44"/>
  <c r="I52" i="47"/>
  <c r="F8" i="44"/>
  <c r="J63" i="47"/>
  <c r="H63" i="47" s="1"/>
  <c r="D63" i="47"/>
  <c r="C62" i="47"/>
  <c r="D62" i="47" s="1"/>
  <c r="L63" i="47"/>
  <c r="I70" i="47"/>
  <c r="L69" i="47"/>
  <c r="J55" i="47"/>
  <c r="H55" i="47" s="1"/>
  <c r="D48" i="47"/>
  <c r="C47" i="47"/>
  <c r="J69" i="47"/>
  <c r="H69" i="47" s="1"/>
  <c r="I56" i="47"/>
  <c r="L55" i="47"/>
  <c r="I66" i="47"/>
  <c r="I59" i="47"/>
  <c r="C12" i="47"/>
  <c r="C11" i="47" s="1"/>
  <c r="L26" i="47"/>
  <c r="I6" i="44"/>
  <c r="C20" i="45"/>
  <c r="D20" i="45" s="1"/>
  <c r="C13" i="45"/>
  <c r="D13" i="45" s="1"/>
  <c r="C34" i="45"/>
  <c r="D34" i="45" s="1"/>
  <c r="C30" i="45"/>
  <c r="D30" i="45" s="1"/>
  <c r="J31" i="45"/>
  <c r="J36" i="45"/>
  <c r="J22" i="45"/>
  <c r="E10" i="45" s="1"/>
  <c r="C27" i="45"/>
  <c r="J28" i="45"/>
  <c r="J29" i="45"/>
  <c r="J32" i="45"/>
  <c r="J35" i="45"/>
  <c r="B23" i="45"/>
  <c r="B32" i="43"/>
  <c r="D34" i="43" s="1"/>
  <c r="D31" i="43"/>
  <c r="D30" i="43"/>
  <c r="D28" i="43"/>
  <c r="D27" i="43"/>
  <c r="D21" i="43"/>
  <c r="B19" i="43" s="1"/>
  <c r="D20" i="43" s="1"/>
  <c r="D17" i="43"/>
  <c r="E6" i="42"/>
  <c r="W33" i="60" l="1"/>
  <c r="W19" i="60"/>
  <c r="W26" i="60"/>
  <c r="I49" i="47"/>
  <c r="J48" i="47"/>
  <c r="H48" i="47" s="1"/>
  <c r="E22" i="45"/>
  <c r="E16" i="45"/>
  <c r="E33" i="45"/>
  <c r="E35" i="45" s="1"/>
  <c r="E26" i="45"/>
  <c r="E27" i="45" s="1"/>
  <c r="E30" i="45" s="1"/>
  <c r="E19" i="45"/>
  <c r="E20" i="45" s="1"/>
  <c r="E21" i="45" s="1"/>
  <c r="E12" i="45"/>
  <c r="E11" i="45" s="1"/>
  <c r="E18" i="45"/>
  <c r="E17" i="45"/>
  <c r="E36" i="45"/>
  <c r="E13" i="45"/>
  <c r="N31" i="45"/>
  <c r="S31" i="45" s="1"/>
  <c r="P31" i="45"/>
  <c r="N36" i="45"/>
  <c r="S36" i="45" s="1"/>
  <c r="P36" i="45"/>
  <c r="N35" i="45"/>
  <c r="S35" i="45" s="1"/>
  <c r="P35" i="45"/>
  <c r="N32" i="45"/>
  <c r="S32" i="45" s="1"/>
  <c r="P32" i="45"/>
  <c r="P28" i="45"/>
  <c r="N28" i="45"/>
  <c r="S28" i="45" s="1"/>
  <c r="P29" i="45"/>
  <c r="N29" i="45"/>
  <c r="S29" i="45" s="1"/>
  <c r="AA15" i="60"/>
  <c r="AA14" i="60"/>
  <c r="AA12" i="60"/>
  <c r="AC12" i="60"/>
  <c r="AC14" i="60"/>
  <c r="AC15" i="60"/>
  <c r="J47" i="47"/>
  <c r="L47" i="47"/>
  <c r="L62" i="47"/>
  <c r="I63" i="47"/>
  <c r="I55" i="47"/>
  <c r="B47" i="47"/>
  <c r="I69" i="47"/>
  <c r="J62" i="47"/>
  <c r="H62" i="47" s="1"/>
  <c r="N22" i="45"/>
  <c r="S22" i="45" s="1"/>
  <c r="P22" i="45"/>
  <c r="D12" i="47"/>
  <c r="J11" i="47"/>
  <c r="L11" i="47"/>
  <c r="J30" i="45"/>
  <c r="D25" i="45"/>
  <c r="C25" i="45" s="1"/>
  <c r="D24" i="45"/>
  <c r="C24" i="45" s="1"/>
  <c r="J27" i="45"/>
  <c r="D27" i="45"/>
  <c r="C26" i="45"/>
  <c r="D26" i="45" s="1"/>
  <c r="C12" i="45"/>
  <c r="C11" i="45" s="1"/>
  <c r="J21" i="45"/>
  <c r="C33" i="45"/>
  <c r="D33" i="45" s="1"/>
  <c r="J34" i="45"/>
  <c r="B12" i="43"/>
  <c r="D13" i="43" s="1"/>
  <c r="D35" i="43"/>
  <c r="B22" i="43"/>
  <c r="D16" i="43"/>
  <c r="D31" i="42"/>
  <c r="D30" i="42"/>
  <c r="C30" i="42" s="1"/>
  <c r="D28" i="42"/>
  <c r="C28" i="42" s="1"/>
  <c r="C27" i="42"/>
  <c r="D17" i="42"/>
  <c r="D16" i="42"/>
  <c r="C16" i="42" s="1"/>
  <c r="G34" i="42"/>
  <c r="G30" i="42"/>
  <c r="G27" i="42"/>
  <c r="G23" i="42"/>
  <c r="D21" i="42"/>
  <c r="C21" i="42" s="1"/>
  <c r="G20" i="42"/>
  <c r="G17" i="42"/>
  <c r="G16" i="42"/>
  <c r="G14" i="42"/>
  <c r="G13" i="42"/>
  <c r="E12" i="42"/>
  <c r="G9" i="42"/>
  <c r="G34" i="40"/>
  <c r="B32" i="40"/>
  <c r="D35" i="40" s="1"/>
  <c r="C35" i="40" s="1"/>
  <c r="D31" i="40"/>
  <c r="C31" i="40" s="1"/>
  <c r="G30" i="40"/>
  <c r="D30" i="40"/>
  <c r="C30" i="40" s="1"/>
  <c r="D28" i="40"/>
  <c r="C28" i="40" s="1"/>
  <c r="G27" i="40"/>
  <c r="D27" i="40"/>
  <c r="C27" i="40" s="1"/>
  <c r="G23" i="40"/>
  <c r="D21" i="40"/>
  <c r="G20" i="40"/>
  <c r="G17" i="40"/>
  <c r="G16" i="40"/>
  <c r="B15" i="40"/>
  <c r="D17" i="40" s="1"/>
  <c r="C17" i="40" s="1"/>
  <c r="G14" i="40"/>
  <c r="G13" i="40"/>
  <c r="E12" i="40"/>
  <c r="G9" i="40"/>
  <c r="E6" i="40"/>
  <c r="G64" i="39"/>
  <c r="B62" i="39"/>
  <c r="D61" i="39"/>
  <c r="C61" i="39" s="1"/>
  <c r="G60" i="39"/>
  <c r="D60" i="39"/>
  <c r="C60" i="39" s="1"/>
  <c r="D58" i="39"/>
  <c r="C58" i="39" s="1"/>
  <c r="G57" i="39"/>
  <c r="D57" i="39"/>
  <c r="C57" i="39" s="1"/>
  <c r="G53" i="39"/>
  <c r="D51" i="39"/>
  <c r="G50" i="39"/>
  <c r="G47" i="39"/>
  <c r="G46" i="39"/>
  <c r="B45" i="39"/>
  <c r="D47" i="39" s="1"/>
  <c r="C47" i="39" s="1"/>
  <c r="G44" i="39"/>
  <c r="G43" i="39"/>
  <c r="E42" i="39"/>
  <c r="G39" i="39"/>
  <c r="E39" i="39"/>
  <c r="H39" i="39" s="1"/>
  <c r="I40" i="39" s="1"/>
  <c r="E36" i="39"/>
  <c r="G29" i="39"/>
  <c r="B27" i="39"/>
  <c r="D29" i="39" s="1"/>
  <c r="C29" i="39" s="1"/>
  <c r="D26" i="39"/>
  <c r="C26" i="39" s="1"/>
  <c r="G25" i="39"/>
  <c r="D25" i="39"/>
  <c r="C25" i="39" s="1"/>
  <c r="D23" i="39"/>
  <c r="C23" i="39" s="1"/>
  <c r="G22" i="39"/>
  <c r="D22" i="39"/>
  <c r="C22" i="39" s="1"/>
  <c r="H22" i="39" s="1"/>
  <c r="G18" i="39"/>
  <c r="D16" i="39"/>
  <c r="B14" i="39" s="1"/>
  <c r="G15" i="39"/>
  <c r="G12" i="39"/>
  <c r="G11" i="39"/>
  <c r="B10" i="39"/>
  <c r="D12" i="39" s="1"/>
  <c r="C12" i="39" s="1"/>
  <c r="G9" i="39"/>
  <c r="G8" i="39"/>
  <c r="H4" i="39"/>
  <c r="G4" i="39"/>
  <c r="J4" i="39" s="1"/>
  <c r="G136" i="38"/>
  <c r="B134" i="38"/>
  <c r="D137" i="38" s="1"/>
  <c r="C137" i="38" s="1"/>
  <c r="D133" i="38"/>
  <c r="C133" i="38" s="1"/>
  <c r="G132" i="38"/>
  <c r="D132" i="38"/>
  <c r="C132" i="38" s="1"/>
  <c r="D130" i="38"/>
  <c r="C130" i="38" s="1"/>
  <c r="G129" i="38"/>
  <c r="D129" i="38"/>
  <c r="C129" i="38" s="1"/>
  <c r="G125" i="38"/>
  <c r="D123" i="38"/>
  <c r="C123" i="38" s="1"/>
  <c r="G122" i="38"/>
  <c r="G119" i="38"/>
  <c r="G118" i="38"/>
  <c r="B117" i="38"/>
  <c r="B114" i="38" s="1"/>
  <c r="E117" i="38"/>
  <c r="G116" i="38"/>
  <c r="G115" i="38"/>
  <c r="G111" i="38"/>
  <c r="E111" i="38"/>
  <c r="E108" i="38"/>
  <c r="E147" i="38"/>
  <c r="B153" i="38"/>
  <c r="B163" i="38"/>
  <c r="I48" i="47" l="1"/>
  <c r="W10" i="60"/>
  <c r="X19" i="60" s="1"/>
  <c r="E23" i="45"/>
  <c r="E25" i="45" s="1"/>
  <c r="E34" i="45"/>
  <c r="E32" i="45"/>
  <c r="E31" i="45"/>
  <c r="E28" i="45"/>
  <c r="E29" i="45"/>
  <c r="E15" i="45"/>
  <c r="E14" i="45"/>
  <c r="P27" i="45"/>
  <c r="B12" i="40"/>
  <c r="D14" i="40" s="1"/>
  <c r="C14" i="40" s="1"/>
  <c r="H14" i="40" s="1"/>
  <c r="D16" i="40"/>
  <c r="C16" i="40" s="1"/>
  <c r="C26" i="40"/>
  <c r="D26" i="40" s="1"/>
  <c r="D34" i="40"/>
  <c r="C34" i="40" s="1"/>
  <c r="H34" i="40" s="1"/>
  <c r="C29" i="40"/>
  <c r="D29" i="40" s="1"/>
  <c r="E16" i="40"/>
  <c r="E15" i="40" s="1"/>
  <c r="E11" i="40" s="1"/>
  <c r="E10" i="40" s="1"/>
  <c r="D30" i="39"/>
  <c r="C30" i="39" s="1"/>
  <c r="C28" i="39" s="1"/>
  <c r="C16" i="39"/>
  <c r="E116" i="38"/>
  <c r="E114" i="38" s="1"/>
  <c r="E113" i="38" s="1"/>
  <c r="E112" i="38" s="1"/>
  <c r="B121" i="38"/>
  <c r="D136" i="38"/>
  <c r="C136" i="38" s="1"/>
  <c r="J136" i="38" s="1"/>
  <c r="AG14" i="60"/>
  <c r="AG15" i="60"/>
  <c r="J46" i="47"/>
  <c r="H46" i="47" s="1"/>
  <c r="I62" i="47"/>
  <c r="L46" i="47"/>
  <c r="N21" i="45"/>
  <c r="S21" i="45" s="1"/>
  <c r="P21" i="45"/>
  <c r="P20" i="45" s="1"/>
  <c r="J27" i="47"/>
  <c r="H27" i="47" s="1"/>
  <c r="L16" i="47"/>
  <c r="J16" i="47"/>
  <c r="H16" i="47" s="1"/>
  <c r="J34" i="47"/>
  <c r="H34" i="47" s="1"/>
  <c r="J23" i="47"/>
  <c r="H23" i="47" s="1"/>
  <c r="J30" i="47"/>
  <c r="H30" i="47" s="1"/>
  <c r="J20" i="47"/>
  <c r="H20" i="47" s="1"/>
  <c r="P30" i="45"/>
  <c r="P34" i="45"/>
  <c r="J33" i="45"/>
  <c r="J26" i="45"/>
  <c r="J20" i="45"/>
  <c r="D12" i="45"/>
  <c r="C23" i="45"/>
  <c r="D23" i="45" s="1"/>
  <c r="J24" i="45"/>
  <c r="J25" i="45"/>
  <c r="N25" i="45" s="1"/>
  <c r="D14" i="43"/>
  <c r="D23" i="43"/>
  <c r="D24" i="43"/>
  <c r="B19" i="42"/>
  <c r="D20" i="42" s="1"/>
  <c r="C20" i="42" s="1"/>
  <c r="H20" i="42" s="1"/>
  <c r="J27" i="42"/>
  <c r="B12" i="42"/>
  <c r="J9" i="42"/>
  <c r="H9" i="42"/>
  <c r="J30" i="42"/>
  <c r="H30" i="42"/>
  <c r="C31" i="42"/>
  <c r="C17" i="42"/>
  <c r="C26" i="42"/>
  <c r="D26" i="42" s="1"/>
  <c r="H27" i="42"/>
  <c r="J17" i="40"/>
  <c r="H17" i="40"/>
  <c r="C15" i="40"/>
  <c r="D15" i="40" s="1"/>
  <c r="J9" i="40"/>
  <c r="H9" i="40"/>
  <c r="H30" i="40"/>
  <c r="C21" i="40"/>
  <c r="B19" i="40"/>
  <c r="J27" i="40"/>
  <c r="H27" i="40"/>
  <c r="J30" i="40"/>
  <c r="B42" i="39"/>
  <c r="D44" i="39" s="1"/>
  <c r="C44" i="39" s="1"/>
  <c r="J44" i="39" s="1"/>
  <c r="B7" i="39"/>
  <c r="D8" i="39" s="1"/>
  <c r="C8" i="39" s="1"/>
  <c r="J8" i="39" s="1"/>
  <c r="H60" i="39"/>
  <c r="I60" i="39" s="1"/>
  <c r="J60" i="39"/>
  <c r="H12" i="39"/>
  <c r="I12" i="39" s="1"/>
  <c r="J12" i="39"/>
  <c r="K12" i="39" s="1"/>
  <c r="J39" i="39"/>
  <c r="K60" i="39" s="1"/>
  <c r="D46" i="39"/>
  <c r="C46" i="39" s="1"/>
  <c r="C45" i="39" s="1"/>
  <c r="D45" i="39" s="1"/>
  <c r="C59" i="39"/>
  <c r="D59" i="39" s="1"/>
  <c r="J47" i="39"/>
  <c r="H47" i="39"/>
  <c r="I47" i="39" s="1"/>
  <c r="B17" i="39"/>
  <c r="D15" i="39"/>
  <c r="C15" i="39" s="1"/>
  <c r="J29" i="39"/>
  <c r="H29" i="39"/>
  <c r="J25" i="39"/>
  <c r="H25" i="39"/>
  <c r="C24" i="39"/>
  <c r="D24" i="39" s="1"/>
  <c r="C51" i="39"/>
  <c r="B49" i="39"/>
  <c r="D11" i="39"/>
  <c r="C11" i="39" s="1"/>
  <c r="J57" i="39"/>
  <c r="C56" i="39"/>
  <c r="H57" i="39"/>
  <c r="I22" i="39"/>
  <c r="D64" i="39"/>
  <c r="C64" i="39" s="1"/>
  <c r="C21" i="39"/>
  <c r="J22" i="39"/>
  <c r="D65" i="39"/>
  <c r="C65" i="39" s="1"/>
  <c r="E46" i="39"/>
  <c r="E45" i="39" s="1"/>
  <c r="E41" i="39" s="1"/>
  <c r="E40" i="39" s="1"/>
  <c r="H111" i="38"/>
  <c r="J111" i="38"/>
  <c r="J132" i="38"/>
  <c r="H132" i="38"/>
  <c r="C131" i="38"/>
  <c r="D131" i="38" s="1"/>
  <c r="D116" i="38"/>
  <c r="C116" i="38" s="1"/>
  <c r="D115" i="38"/>
  <c r="C115" i="38" s="1"/>
  <c r="C128" i="38"/>
  <c r="H129" i="38"/>
  <c r="J129" i="38"/>
  <c r="D119" i="38"/>
  <c r="C119" i="38" s="1"/>
  <c r="D118" i="38"/>
  <c r="C118" i="38" s="1"/>
  <c r="D166" i="38"/>
  <c r="C166" i="38" s="1"/>
  <c r="G172" i="38"/>
  <c r="D172" i="38"/>
  <c r="C172" i="38" s="1"/>
  <c r="D173" i="38"/>
  <c r="C173" i="38" s="1"/>
  <c r="G168" i="38"/>
  <c r="G165" i="38"/>
  <c r="G161" i="38"/>
  <c r="D159" i="38"/>
  <c r="B157" i="38" s="1"/>
  <c r="D158" i="38" s="1"/>
  <c r="C158" i="38" s="1"/>
  <c r="G158" i="38"/>
  <c r="G155" i="38"/>
  <c r="G154" i="38"/>
  <c r="D154" i="38"/>
  <c r="C154" i="38" s="1"/>
  <c r="G152" i="38"/>
  <c r="G151" i="38"/>
  <c r="G147" i="38"/>
  <c r="E144" i="38"/>
  <c r="E152" i="38" s="1"/>
  <c r="E150" i="38" s="1"/>
  <c r="H75" i="38"/>
  <c r="G100" i="38"/>
  <c r="B98" i="38"/>
  <c r="D97" i="38"/>
  <c r="C97" i="38" s="1"/>
  <c r="G96" i="38"/>
  <c r="D96" i="38"/>
  <c r="C96" i="38" s="1"/>
  <c r="D94" i="38"/>
  <c r="C94" i="38" s="1"/>
  <c r="G93" i="38"/>
  <c r="D93" i="38"/>
  <c r="C93" i="38" s="1"/>
  <c r="G89" i="38"/>
  <c r="D87" i="38"/>
  <c r="C87" i="38" s="1"/>
  <c r="G86" i="38"/>
  <c r="G83" i="38"/>
  <c r="G82" i="38"/>
  <c r="B81" i="38"/>
  <c r="D83" i="38" s="1"/>
  <c r="C83" i="38" s="1"/>
  <c r="G80" i="38"/>
  <c r="G79" i="38"/>
  <c r="G75" i="38"/>
  <c r="C45" i="63" l="1"/>
  <c r="K48" i="47"/>
  <c r="B47" i="63" s="1"/>
  <c r="D47" i="63" s="1"/>
  <c r="D39" i="63" s="1"/>
  <c r="X26" i="60"/>
  <c r="X25" i="60"/>
  <c r="X14" i="60"/>
  <c r="X22" i="60"/>
  <c r="X31" i="60"/>
  <c r="X27" i="60"/>
  <c r="X17" i="60"/>
  <c r="X24" i="60"/>
  <c r="X29" i="60"/>
  <c r="X28" i="60"/>
  <c r="X32" i="60"/>
  <c r="X21" i="60"/>
  <c r="X35" i="60"/>
  <c r="X18" i="60"/>
  <c r="X36" i="60"/>
  <c r="X15" i="60"/>
  <c r="X11" i="60"/>
  <c r="X13" i="60"/>
  <c r="X30" i="60"/>
  <c r="X34" i="60"/>
  <c r="X16" i="60"/>
  <c r="X23" i="60"/>
  <c r="X20" i="60"/>
  <c r="X12" i="60"/>
  <c r="X33" i="60"/>
  <c r="E24" i="45"/>
  <c r="P26" i="45"/>
  <c r="J20" i="42"/>
  <c r="D13" i="40"/>
  <c r="C13" i="40" s="1"/>
  <c r="J14" i="40"/>
  <c r="C25" i="40"/>
  <c r="D25" i="40" s="1"/>
  <c r="H16" i="40"/>
  <c r="C33" i="40"/>
  <c r="D33" i="40" s="1"/>
  <c r="J16" i="40"/>
  <c r="J15" i="40" s="1"/>
  <c r="K15" i="40" s="1"/>
  <c r="J34" i="40"/>
  <c r="K34" i="40" s="1"/>
  <c r="J93" i="38"/>
  <c r="J96" i="38"/>
  <c r="C159" i="38"/>
  <c r="B85" i="38"/>
  <c r="B88" i="38" s="1"/>
  <c r="D89" i="38" s="1"/>
  <c r="C89" i="38" s="1"/>
  <c r="C135" i="38"/>
  <c r="C134" i="38" s="1"/>
  <c r="D134" i="38" s="1"/>
  <c r="E46" i="38"/>
  <c r="H136" i="38"/>
  <c r="I136" i="38" s="1"/>
  <c r="B124" i="38"/>
  <c r="D122" i="38"/>
  <c r="C122" i="38" s="1"/>
  <c r="I27" i="47"/>
  <c r="I20" i="47"/>
  <c r="I30" i="47"/>
  <c r="I23" i="47"/>
  <c r="I34" i="47"/>
  <c r="I46" i="47"/>
  <c r="M62" i="47"/>
  <c r="M70" i="47"/>
  <c r="M72" i="47"/>
  <c r="M55" i="47"/>
  <c r="M63" i="47"/>
  <c r="M71" i="47"/>
  <c r="M56" i="47"/>
  <c r="M64" i="47"/>
  <c r="M57" i="47"/>
  <c r="M65" i="47"/>
  <c r="M58" i="47"/>
  <c r="M66" i="47"/>
  <c r="M59" i="47"/>
  <c r="M67" i="47"/>
  <c r="M60" i="47"/>
  <c r="M68" i="47"/>
  <c r="M61" i="47"/>
  <c r="M69" i="47"/>
  <c r="M51" i="47"/>
  <c r="M54" i="47"/>
  <c r="M53" i="47"/>
  <c r="M52" i="47"/>
  <c r="M50" i="47"/>
  <c r="M49" i="47"/>
  <c r="M48" i="47"/>
  <c r="K57" i="47"/>
  <c r="B56" i="63" s="1"/>
  <c r="D56" i="63" s="1"/>
  <c r="K65" i="47"/>
  <c r="B64" i="63" s="1"/>
  <c r="D64" i="63" s="1"/>
  <c r="K58" i="47"/>
  <c r="B57" i="63" s="1"/>
  <c r="D57" i="63" s="1"/>
  <c r="K66" i="47"/>
  <c r="B65" i="63" s="1"/>
  <c r="D65" i="63" s="1"/>
  <c r="K59" i="47"/>
  <c r="B58" i="63" s="1"/>
  <c r="D58" i="63" s="1"/>
  <c r="K67" i="47"/>
  <c r="B66" i="63" s="1"/>
  <c r="D66" i="63" s="1"/>
  <c r="K60" i="47"/>
  <c r="B59" i="63" s="1"/>
  <c r="D59" i="63" s="1"/>
  <c r="K68" i="47"/>
  <c r="B67" i="63" s="1"/>
  <c r="D67" i="63" s="1"/>
  <c r="C67" i="63" s="1"/>
  <c r="K61" i="47"/>
  <c r="B60" i="63" s="1"/>
  <c r="D60" i="63" s="1"/>
  <c r="C60" i="63" s="1"/>
  <c r="K69" i="47"/>
  <c r="B68" i="63" s="1"/>
  <c r="D68" i="63" s="1"/>
  <c r="K62" i="47"/>
  <c r="B61" i="63" s="1"/>
  <c r="D61" i="63" s="1"/>
  <c r="K70" i="47"/>
  <c r="B69" i="63" s="1"/>
  <c r="D69" i="63" s="1"/>
  <c r="K55" i="47"/>
  <c r="B54" i="63" s="1"/>
  <c r="D54" i="63" s="1"/>
  <c r="K63" i="47"/>
  <c r="B62" i="63" s="1"/>
  <c r="D62" i="63" s="1"/>
  <c r="K71" i="47"/>
  <c r="B70" i="63" s="1"/>
  <c r="D70" i="63" s="1"/>
  <c r="C70" i="63" s="1"/>
  <c r="K56" i="47"/>
  <c r="B55" i="63" s="1"/>
  <c r="D55" i="63" s="1"/>
  <c r="K64" i="47"/>
  <c r="B63" i="63" s="1"/>
  <c r="D63" i="63" s="1"/>
  <c r="C63" i="63" s="1"/>
  <c r="K72" i="47"/>
  <c r="B71" i="63" s="1"/>
  <c r="D71" i="63" s="1"/>
  <c r="C71" i="63" s="1"/>
  <c r="K53" i="47"/>
  <c r="B52" i="63" s="1"/>
  <c r="D52" i="63" s="1"/>
  <c r="C52" i="63" s="1"/>
  <c r="K54" i="47"/>
  <c r="B53" i="63" s="1"/>
  <c r="D53" i="63" s="1"/>
  <c r="C53" i="63" s="1"/>
  <c r="K51" i="47"/>
  <c r="B50" i="63" s="1"/>
  <c r="D50" i="63" s="1"/>
  <c r="C50" i="63" s="1"/>
  <c r="K52" i="47"/>
  <c r="B51" i="63" s="1"/>
  <c r="D51" i="63" s="1"/>
  <c r="K49" i="47"/>
  <c r="B48" i="63" s="1"/>
  <c r="D48" i="63" s="1"/>
  <c r="K50" i="47"/>
  <c r="B49" i="63" s="1"/>
  <c r="D49" i="63" s="1"/>
  <c r="C49" i="63" s="1"/>
  <c r="K47" i="47"/>
  <c r="B46" i="63" s="1"/>
  <c r="D46" i="63" s="1"/>
  <c r="M47" i="47"/>
  <c r="F26" i="45"/>
  <c r="G26" i="45" s="1"/>
  <c r="S25" i="45"/>
  <c r="P25" i="45"/>
  <c r="N24" i="45"/>
  <c r="S24" i="45" s="1"/>
  <c r="P24" i="45"/>
  <c r="J19" i="47"/>
  <c r="H19" i="47" s="1"/>
  <c r="J33" i="47"/>
  <c r="H33" i="47" s="1"/>
  <c r="I16" i="47"/>
  <c r="J26" i="47"/>
  <c r="H26" i="47" s="1"/>
  <c r="P33" i="45"/>
  <c r="H22" i="45"/>
  <c r="J11" i="45"/>
  <c r="P11" i="45" s="1"/>
  <c r="F33" i="45"/>
  <c r="G33" i="45" s="1"/>
  <c r="C19" i="45"/>
  <c r="D19" i="45" s="1"/>
  <c r="J23" i="45"/>
  <c r="K27" i="42"/>
  <c r="C19" i="42"/>
  <c r="D19" i="42" s="1"/>
  <c r="D14" i="42"/>
  <c r="C14" i="42" s="1"/>
  <c r="D13" i="42"/>
  <c r="C13" i="42" s="1"/>
  <c r="B22" i="42"/>
  <c r="H16" i="42"/>
  <c r="I16" i="42" s="1"/>
  <c r="J17" i="42"/>
  <c r="K17" i="42" s="1"/>
  <c r="H17" i="42"/>
  <c r="I17" i="42" s="1"/>
  <c r="K30" i="42"/>
  <c r="I20" i="42"/>
  <c r="K20" i="42"/>
  <c r="D34" i="42"/>
  <c r="C34" i="42" s="1"/>
  <c r="D35" i="42"/>
  <c r="C35" i="42" s="1"/>
  <c r="C15" i="42"/>
  <c r="D15" i="42" s="1"/>
  <c r="I27" i="42"/>
  <c r="J16" i="42"/>
  <c r="I30" i="42"/>
  <c r="C29" i="42"/>
  <c r="D29" i="42" s="1"/>
  <c r="K17" i="40"/>
  <c r="K14" i="40"/>
  <c r="K30" i="40"/>
  <c r="K27" i="40"/>
  <c r="I34" i="40"/>
  <c r="I27" i="40"/>
  <c r="I14" i="40"/>
  <c r="I30" i="40"/>
  <c r="I16" i="40"/>
  <c r="I17" i="40"/>
  <c r="B22" i="40"/>
  <c r="D20" i="40"/>
  <c r="C20" i="40" s="1"/>
  <c r="J13" i="40"/>
  <c r="K13" i="40" s="1"/>
  <c r="H13" i="40"/>
  <c r="I13" i="40" s="1"/>
  <c r="C12" i="40"/>
  <c r="C32" i="40"/>
  <c r="D32" i="40" s="1"/>
  <c r="H15" i="40"/>
  <c r="I15" i="40" s="1"/>
  <c r="H44" i="39"/>
  <c r="I44" i="39" s="1"/>
  <c r="D43" i="39"/>
  <c r="C43" i="39" s="1"/>
  <c r="J43" i="39" s="1"/>
  <c r="J46" i="39"/>
  <c r="K46" i="39" s="1"/>
  <c r="K44" i="39"/>
  <c r="K47" i="39"/>
  <c r="H8" i="39"/>
  <c r="I8" i="39" s="1"/>
  <c r="D9" i="39"/>
  <c r="C9" i="39" s="1"/>
  <c r="H9" i="39" s="1"/>
  <c r="I9" i="39" s="1"/>
  <c r="K22" i="39"/>
  <c r="I57" i="39"/>
  <c r="H46" i="39"/>
  <c r="D21" i="39"/>
  <c r="C20" i="39"/>
  <c r="D20" i="39" s="1"/>
  <c r="D56" i="39"/>
  <c r="C55" i="39"/>
  <c r="D55" i="39" s="1"/>
  <c r="H64" i="39"/>
  <c r="J64" i="39"/>
  <c r="C63" i="39"/>
  <c r="K57" i="39"/>
  <c r="I29" i="39"/>
  <c r="I25" i="39"/>
  <c r="J15" i="39"/>
  <c r="C14" i="39"/>
  <c r="H15" i="39"/>
  <c r="H11" i="39"/>
  <c r="J11" i="39"/>
  <c r="C10" i="39"/>
  <c r="D10" i="39" s="1"/>
  <c r="D50" i="39"/>
  <c r="C50" i="39" s="1"/>
  <c r="B52" i="39"/>
  <c r="K25" i="39"/>
  <c r="C27" i="39"/>
  <c r="D27" i="39" s="1"/>
  <c r="D28" i="39"/>
  <c r="D19" i="39"/>
  <c r="C19" i="39" s="1"/>
  <c r="D18" i="39"/>
  <c r="C18" i="39" s="1"/>
  <c r="K8" i="39"/>
  <c r="K29" i="39"/>
  <c r="J119" i="38"/>
  <c r="H119" i="38"/>
  <c r="I119" i="38" s="1"/>
  <c r="J115" i="38"/>
  <c r="C114" i="38"/>
  <c r="H115" i="38"/>
  <c r="I129" i="38"/>
  <c r="J116" i="38"/>
  <c r="H116" i="38"/>
  <c r="I116" i="38" s="1"/>
  <c r="D100" i="38"/>
  <c r="C100" i="38" s="1"/>
  <c r="J100" i="38" s="1"/>
  <c r="J118" i="38"/>
  <c r="C117" i="38"/>
  <c r="D117" i="38" s="1"/>
  <c r="H118" i="38"/>
  <c r="D128" i="38"/>
  <c r="C127" i="38"/>
  <c r="D127" i="38" s="1"/>
  <c r="I132" i="38"/>
  <c r="D135" i="38"/>
  <c r="D101" i="38"/>
  <c r="C101" i="38" s="1"/>
  <c r="E80" i="38"/>
  <c r="E78" i="38" s="1"/>
  <c r="J147" i="38"/>
  <c r="D168" i="38"/>
  <c r="C168" i="38" s="1"/>
  <c r="J168" i="38" s="1"/>
  <c r="D169" i="38"/>
  <c r="C169" i="38" s="1"/>
  <c r="D165" i="38"/>
  <c r="C165" i="38" s="1"/>
  <c r="J165" i="38" s="1"/>
  <c r="B150" i="38"/>
  <c r="D151" i="38" s="1"/>
  <c r="C151" i="38" s="1"/>
  <c r="J151" i="38" s="1"/>
  <c r="J154" i="38"/>
  <c r="H154" i="38"/>
  <c r="J172" i="38"/>
  <c r="H172" i="38"/>
  <c r="C171" i="38"/>
  <c r="J158" i="38"/>
  <c r="H158" i="38"/>
  <c r="C157" i="38"/>
  <c r="B160" i="38"/>
  <c r="H147" i="38"/>
  <c r="D155" i="38"/>
  <c r="C155" i="38" s="1"/>
  <c r="C153" i="38" s="1"/>
  <c r="D153" i="38" s="1"/>
  <c r="E81" i="38"/>
  <c r="B78" i="38"/>
  <c r="D79" i="38" s="1"/>
  <c r="C79" i="38" s="1"/>
  <c r="J79" i="38" s="1"/>
  <c r="J75" i="38"/>
  <c r="D90" i="38"/>
  <c r="C90" i="38" s="1"/>
  <c r="C95" i="38"/>
  <c r="D95" i="38" s="1"/>
  <c r="C92" i="38"/>
  <c r="D82" i="38"/>
  <c r="C82" i="38" s="1"/>
  <c r="D86" i="38"/>
  <c r="C86" i="38" s="1"/>
  <c r="H96" i="38"/>
  <c r="I96" i="38" s="1"/>
  <c r="H93" i="38"/>
  <c r="I93" i="38" s="1"/>
  <c r="C57" i="63" l="1"/>
  <c r="C64" i="63"/>
  <c r="C56" i="63"/>
  <c r="C59" i="63"/>
  <c r="O59" i="63" s="1"/>
  <c r="C66" i="63"/>
  <c r="C65" i="63" s="1"/>
  <c r="O63" i="63"/>
  <c r="M63" i="63"/>
  <c r="C62" i="63"/>
  <c r="O49" i="63"/>
  <c r="C48" i="63"/>
  <c r="M49" i="63"/>
  <c r="M67" i="63"/>
  <c r="O67" i="63"/>
  <c r="M60" i="63"/>
  <c r="O60" i="63"/>
  <c r="C69" i="63"/>
  <c r="C68" i="63" s="1"/>
  <c r="O70" i="63"/>
  <c r="M70" i="63"/>
  <c r="M66" i="63"/>
  <c r="O66" i="63"/>
  <c r="O56" i="63"/>
  <c r="M56" i="63"/>
  <c r="C55" i="63"/>
  <c r="M53" i="63"/>
  <c r="O53" i="63"/>
  <c r="O52" i="63"/>
  <c r="M52" i="63"/>
  <c r="C51" i="63"/>
  <c r="O57" i="63"/>
  <c r="M57" i="63"/>
  <c r="I45" i="63"/>
  <c r="I48" i="63" s="1"/>
  <c r="G45" i="63"/>
  <c r="E45" i="63"/>
  <c r="E48" i="63" s="1"/>
  <c r="O71" i="63"/>
  <c r="M71" i="63"/>
  <c r="O64" i="63"/>
  <c r="M64" i="63"/>
  <c r="K16" i="40"/>
  <c r="H43" i="39"/>
  <c r="I43" i="39" s="1"/>
  <c r="C42" i="39"/>
  <c r="D42" i="39" s="1"/>
  <c r="E77" i="38"/>
  <c r="E76" i="38" s="1"/>
  <c r="C99" i="38"/>
  <c r="C98" i="38" s="1"/>
  <c r="D98" i="38" s="1"/>
  <c r="H100" i="38"/>
  <c r="I100" i="38" s="1"/>
  <c r="D126" i="38"/>
  <c r="C126" i="38" s="1"/>
  <c r="D125" i="38"/>
  <c r="C125" i="38" s="1"/>
  <c r="C121" i="38"/>
  <c r="D121" i="38" s="1"/>
  <c r="J122" i="38"/>
  <c r="K122" i="38" s="1"/>
  <c r="H122" i="38"/>
  <c r="I122" i="38" s="1"/>
  <c r="AF13" i="60"/>
  <c r="I33" i="47"/>
  <c r="I19" i="47"/>
  <c r="I26" i="47"/>
  <c r="H11" i="45"/>
  <c r="P23" i="45"/>
  <c r="P19" i="45" s="1"/>
  <c r="N11" i="45"/>
  <c r="B11" i="47"/>
  <c r="H36" i="45"/>
  <c r="H21" i="45"/>
  <c r="H20" i="45" s="1"/>
  <c r="N34" i="45"/>
  <c r="H17" i="45"/>
  <c r="J17" i="45"/>
  <c r="F27" i="45"/>
  <c r="G27" i="45" s="1"/>
  <c r="H15" i="45"/>
  <c r="J19" i="45"/>
  <c r="F19" i="45" s="1"/>
  <c r="G19" i="45" s="1"/>
  <c r="F23" i="45"/>
  <c r="G23" i="45" s="1"/>
  <c r="J18" i="45"/>
  <c r="H18" i="45"/>
  <c r="F20" i="45"/>
  <c r="G20" i="45" s="1"/>
  <c r="F34" i="45"/>
  <c r="G34" i="45" s="1"/>
  <c r="H35" i="45"/>
  <c r="D24" i="42"/>
  <c r="C24" i="42" s="1"/>
  <c r="D23" i="42"/>
  <c r="C23" i="42" s="1"/>
  <c r="H15" i="42"/>
  <c r="F15" i="42" s="1"/>
  <c r="C25" i="42"/>
  <c r="D25" i="42" s="1"/>
  <c r="J14" i="42"/>
  <c r="K14" i="42" s="1"/>
  <c r="H14" i="42"/>
  <c r="I14" i="42" s="1"/>
  <c r="J13" i="42"/>
  <c r="H13" i="42"/>
  <c r="C12" i="42"/>
  <c r="D12" i="42" s="1"/>
  <c r="J34" i="42"/>
  <c r="H34" i="42"/>
  <c r="C33" i="42"/>
  <c r="J15" i="42"/>
  <c r="K16" i="42"/>
  <c r="D24" i="40"/>
  <c r="C24" i="40" s="1"/>
  <c r="D23" i="40"/>
  <c r="C23" i="40" s="1"/>
  <c r="D12" i="40"/>
  <c r="C11" i="40"/>
  <c r="G15" i="40"/>
  <c r="H12" i="40"/>
  <c r="I12" i="40" s="1"/>
  <c r="F15" i="40"/>
  <c r="J12" i="40"/>
  <c r="K12" i="40" s="1"/>
  <c r="C19" i="40"/>
  <c r="J20" i="40"/>
  <c r="K20" i="40" s="1"/>
  <c r="H20" i="40"/>
  <c r="I20" i="40" s="1"/>
  <c r="J45" i="39"/>
  <c r="K45" i="39" s="1"/>
  <c r="J9" i="39"/>
  <c r="K9" i="39" s="1"/>
  <c r="C7" i="39"/>
  <c r="D7" i="39" s="1"/>
  <c r="J50" i="39"/>
  <c r="C49" i="39"/>
  <c r="H50" i="39"/>
  <c r="D14" i="39"/>
  <c r="J18" i="39"/>
  <c r="H18" i="39"/>
  <c r="C17" i="39"/>
  <c r="D17" i="39" s="1"/>
  <c r="K15" i="39"/>
  <c r="D63" i="39"/>
  <c r="C62" i="39"/>
  <c r="D62" i="39" s="1"/>
  <c r="K43" i="39"/>
  <c r="J42" i="39"/>
  <c r="J10" i="39"/>
  <c r="K11" i="39"/>
  <c r="K64" i="39"/>
  <c r="H10" i="39"/>
  <c r="I11" i="39"/>
  <c r="I64" i="39"/>
  <c r="H7" i="39"/>
  <c r="D53" i="39"/>
  <c r="C53" i="39" s="1"/>
  <c r="D54" i="39"/>
  <c r="C54" i="39" s="1"/>
  <c r="I15" i="39"/>
  <c r="C41" i="39"/>
  <c r="I46" i="39"/>
  <c r="H45" i="39"/>
  <c r="F45" i="39" s="1"/>
  <c r="K79" i="38"/>
  <c r="K132" i="38"/>
  <c r="K151" i="38"/>
  <c r="K136" i="38"/>
  <c r="H117" i="38"/>
  <c r="I118" i="38"/>
  <c r="I115" i="38"/>
  <c r="H114" i="38"/>
  <c r="K165" i="38"/>
  <c r="D114" i="38"/>
  <c r="C113" i="38"/>
  <c r="J117" i="38"/>
  <c r="K118" i="38"/>
  <c r="K116" i="38"/>
  <c r="K115" i="38"/>
  <c r="J114" i="38"/>
  <c r="K129" i="38"/>
  <c r="K172" i="38"/>
  <c r="K119" i="38"/>
  <c r="K154" i="38"/>
  <c r="K158" i="38"/>
  <c r="K168" i="38"/>
  <c r="H151" i="38"/>
  <c r="I151" i="38" s="1"/>
  <c r="H168" i="38"/>
  <c r="I168" i="38" s="1"/>
  <c r="C167" i="38"/>
  <c r="D167" i="38" s="1"/>
  <c r="H165" i="38"/>
  <c r="I165" i="38" s="1"/>
  <c r="C164" i="38"/>
  <c r="D152" i="38"/>
  <c r="C152" i="38" s="1"/>
  <c r="C150" i="38" s="1"/>
  <c r="C149" i="38" s="1"/>
  <c r="E153" i="38"/>
  <c r="E149" i="38" s="1"/>
  <c r="E148" i="38" s="1"/>
  <c r="I158" i="38"/>
  <c r="I172" i="38"/>
  <c r="I154" i="38"/>
  <c r="D157" i="38"/>
  <c r="J155" i="38"/>
  <c r="K155" i="38" s="1"/>
  <c r="H155" i="38"/>
  <c r="I155" i="38" s="1"/>
  <c r="D161" i="38"/>
  <c r="C161" i="38" s="1"/>
  <c r="D162" i="38"/>
  <c r="C162" i="38" s="1"/>
  <c r="D171" i="38"/>
  <c r="C170" i="38"/>
  <c r="D170" i="38" s="1"/>
  <c r="J83" i="38"/>
  <c r="K83" i="38" s="1"/>
  <c r="H83" i="38"/>
  <c r="I83" i="38" s="1"/>
  <c r="K93" i="38"/>
  <c r="K96" i="38"/>
  <c r="K100" i="38"/>
  <c r="H79" i="38"/>
  <c r="I79" i="38" s="1"/>
  <c r="D80" i="38"/>
  <c r="C80" i="38" s="1"/>
  <c r="C78" i="38" s="1"/>
  <c r="J86" i="38"/>
  <c r="K86" i="38" s="1"/>
  <c r="C85" i="38"/>
  <c r="H86" i="38"/>
  <c r="I86" i="38" s="1"/>
  <c r="C91" i="38"/>
  <c r="D91" i="38" s="1"/>
  <c r="D92" i="38"/>
  <c r="D99" i="38"/>
  <c r="J89" i="38"/>
  <c r="K89" i="38" s="1"/>
  <c r="H89" i="38"/>
  <c r="I89" i="38" s="1"/>
  <c r="C88" i="38"/>
  <c r="D88" i="38" s="1"/>
  <c r="H82" i="38"/>
  <c r="I82" i="38" s="1"/>
  <c r="C81" i="38"/>
  <c r="D81" i="38" s="1"/>
  <c r="J82" i="38"/>
  <c r="K82" i="38" s="1"/>
  <c r="C58" i="63" l="1"/>
  <c r="C61" i="63"/>
  <c r="O58" i="63"/>
  <c r="M59" i="63"/>
  <c r="M58" i="63"/>
  <c r="M62" i="63"/>
  <c r="K62" i="63" s="1"/>
  <c r="L62" i="63" s="1"/>
  <c r="C47" i="63"/>
  <c r="C46" i="63" s="1"/>
  <c r="M51" i="63"/>
  <c r="K51" i="63" s="1"/>
  <c r="L51" i="63" s="1"/>
  <c r="O51" i="63"/>
  <c r="I50" i="63"/>
  <c r="I47" i="63"/>
  <c r="I46" i="63" s="1"/>
  <c r="C54" i="63"/>
  <c r="K58" i="63"/>
  <c r="L58" i="63" s="1"/>
  <c r="M55" i="63"/>
  <c r="M69" i="63"/>
  <c r="O55" i="63"/>
  <c r="O54" i="63" s="1"/>
  <c r="O69" i="63"/>
  <c r="O68" i="63" s="1"/>
  <c r="O65" i="63"/>
  <c r="E50" i="63"/>
  <c r="E47" i="63"/>
  <c r="E46" i="63" s="1"/>
  <c r="G48" i="63"/>
  <c r="M65" i="63"/>
  <c r="K65" i="63" s="1"/>
  <c r="L65" i="63" s="1"/>
  <c r="O62" i="63"/>
  <c r="L34" i="45"/>
  <c r="M34" i="45" s="1"/>
  <c r="S34" i="45"/>
  <c r="H42" i="39"/>
  <c r="F42" i="39" s="1"/>
  <c r="G45" i="39"/>
  <c r="C13" i="39"/>
  <c r="D13" i="39" s="1"/>
  <c r="C163" i="38"/>
  <c r="D163" i="38" s="1"/>
  <c r="C124" i="38"/>
  <c r="D124" i="38" s="1"/>
  <c r="H125" i="38"/>
  <c r="I125" i="38" s="1"/>
  <c r="J125" i="38"/>
  <c r="K125" i="38" s="1"/>
  <c r="AH12" i="60"/>
  <c r="AF12" i="60"/>
  <c r="H34" i="45"/>
  <c r="H33" i="45" s="1"/>
  <c r="N17" i="45"/>
  <c r="P17" i="45"/>
  <c r="N18" i="45"/>
  <c r="S18" i="45" s="1"/>
  <c r="P18" i="45"/>
  <c r="H29" i="45"/>
  <c r="H28" i="45"/>
  <c r="N33" i="45"/>
  <c r="N20" i="45"/>
  <c r="S20" i="45" s="1"/>
  <c r="H14" i="45"/>
  <c r="J14" i="45"/>
  <c r="J15" i="45"/>
  <c r="J16" i="45"/>
  <c r="F30" i="45"/>
  <c r="G30" i="45" s="1"/>
  <c r="H16" i="45"/>
  <c r="I15" i="42"/>
  <c r="C22" i="42"/>
  <c r="J23" i="42"/>
  <c r="K23" i="42" s="1"/>
  <c r="H23" i="42"/>
  <c r="I23" i="42" s="1"/>
  <c r="I13" i="42"/>
  <c r="H12" i="42"/>
  <c r="K13" i="42"/>
  <c r="J12" i="42"/>
  <c r="C11" i="42"/>
  <c r="D11" i="42" s="1"/>
  <c r="D33" i="42"/>
  <c r="C32" i="42"/>
  <c r="D32" i="42" s="1"/>
  <c r="I34" i="42"/>
  <c r="K34" i="42"/>
  <c r="G15" i="42"/>
  <c r="K15" i="42"/>
  <c r="F12" i="40"/>
  <c r="H11" i="40"/>
  <c r="I11" i="40" s="1"/>
  <c r="C10" i="40"/>
  <c r="D10" i="40" s="1"/>
  <c r="D11" i="40"/>
  <c r="D19" i="40"/>
  <c r="J23" i="40"/>
  <c r="K23" i="40" s="1"/>
  <c r="H23" i="40"/>
  <c r="I23" i="40" s="1"/>
  <c r="C22" i="40"/>
  <c r="D22" i="40" s="1"/>
  <c r="J11" i="40"/>
  <c r="K11" i="40" s="1"/>
  <c r="G12" i="40"/>
  <c r="J7" i="39"/>
  <c r="K7" i="39" s="1"/>
  <c r="C6" i="39"/>
  <c r="C5" i="39" s="1"/>
  <c r="D5" i="39" s="1"/>
  <c r="I10" i="39"/>
  <c r="F10" i="39"/>
  <c r="I18" i="39"/>
  <c r="J41" i="39"/>
  <c r="K42" i="39"/>
  <c r="G42" i="39"/>
  <c r="K18" i="39"/>
  <c r="J53" i="39"/>
  <c r="H53" i="39"/>
  <c r="C52" i="39"/>
  <c r="D52" i="39" s="1"/>
  <c r="D49" i="39"/>
  <c r="I45" i="39"/>
  <c r="I50" i="39"/>
  <c r="G10" i="39"/>
  <c r="K10" i="39"/>
  <c r="K50" i="39"/>
  <c r="H41" i="39"/>
  <c r="F41" i="39" s="1"/>
  <c r="C40" i="39"/>
  <c r="D40" i="39" s="1"/>
  <c r="D41" i="39"/>
  <c r="H6" i="39"/>
  <c r="I7" i="39"/>
  <c r="F7" i="39"/>
  <c r="I114" i="38"/>
  <c r="F114" i="38"/>
  <c r="H113" i="38"/>
  <c r="K117" i="38"/>
  <c r="G117" i="38"/>
  <c r="D164" i="38"/>
  <c r="I117" i="38"/>
  <c r="F117" i="38"/>
  <c r="K114" i="38"/>
  <c r="G114" i="38"/>
  <c r="J113" i="38"/>
  <c r="C112" i="38"/>
  <c r="D112" i="38" s="1"/>
  <c r="D113" i="38"/>
  <c r="H152" i="38"/>
  <c r="I152" i="38" s="1"/>
  <c r="D150" i="38"/>
  <c r="J152" i="38"/>
  <c r="K152" i="38" s="1"/>
  <c r="J153" i="38"/>
  <c r="K153" i="38" s="1"/>
  <c r="C148" i="38"/>
  <c r="D148" i="38" s="1"/>
  <c r="D149" i="38"/>
  <c r="H153" i="38"/>
  <c r="J161" i="38"/>
  <c r="K161" i="38" s="1"/>
  <c r="H161" i="38"/>
  <c r="I161" i="38" s="1"/>
  <c r="C160" i="38"/>
  <c r="H80" i="38"/>
  <c r="J80" i="38"/>
  <c r="D78" i="38"/>
  <c r="C77" i="38"/>
  <c r="J81" i="38"/>
  <c r="K81" i="38" s="1"/>
  <c r="H81" i="38"/>
  <c r="I81" i="38" s="1"/>
  <c r="D85" i="38"/>
  <c r="C84" i="38"/>
  <c r="D84" i="38" s="1"/>
  <c r="O46" i="63" l="1"/>
  <c r="M46" i="63"/>
  <c r="O61" i="63"/>
  <c r="K69" i="63"/>
  <c r="L69" i="63" s="1"/>
  <c r="M68" i="63"/>
  <c r="K68" i="63" s="1"/>
  <c r="L68" i="63" s="1"/>
  <c r="G50" i="63"/>
  <c r="Q50" i="63" s="1"/>
  <c r="Q48" i="63" s="1"/>
  <c r="Q47" i="63" s="1"/>
  <c r="G47" i="63"/>
  <c r="G46" i="63" s="1"/>
  <c r="Q46" i="63" s="1"/>
  <c r="K55" i="63"/>
  <c r="L55" i="63" s="1"/>
  <c r="M54" i="63"/>
  <c r="K54" i="63" s="1"/>
  <c r="L54" i="63" s="1"/>
  <c r="M61" i="63"/>
  <c r="K61" i="63" s="1"/>
  <c r="L61" i="63" s="1"/>
  <c r="M50" i="63"/>
  <c r="M48" i="63" s="1"/>
  <c r="O50" i="63"/>
  <c r="O48" i="63" s="1"/>
  <c r="H27" i="45"/>
  <c r="L33" i="45"/>
  <c r="M33" i="45" s="1"/>
  <c r="S33" i="45"/>
  <c r="P16" i="45"/>
  <c r="I42" i="39"/>
  <c r="C120" i="38"/>
  <c r="D120" i="38" s="1"/>
  <c r="AH33" i="60"/>
  <c r="AH35" i="60"/>
  <c r="AH23" i="60"/>
  <c r="AH21" i="60"/>
  <c r="AH20" i="60"/>
  <c r="AH31" i="60"/>
  <c r="AH28" i="60"/>
  <c r="AH36" i="60"/>
  <c r="AH27" i="60"/>
  <c r="AE10" i="60"/>
  <c r="AF10" i="60" s="1"/>
  <c r="AH16" i="60"/>
  <c r="AH18" i="60"/>
  <c r="AH24" i="60"/>
  <c r="AH26" i="60"/>
  <c r="AH32" i="60"/>
  <c r="AH34" i="60"/>
  <c r="AH29" i="60"/>
  <c r="AH30" i="60"/>
  <c r="AH22" i="60"/>
  <c r="AH17" i="60"/>
  <c r="AH19" i="60"/>
  <c r="AH25" i="60"/>
  <c r="AH15" i="60"/>
  <c r="AH14" i="60"/>
  <c r="S17" i="45"/>
  <c r="N16" i="45"/>
  <c r="N15" i="45"/>
  <c r="P15" i="45"/>
  <c r="N14" i="45"/>
  <c r="P14" i="45"/>
  <c r="L20" i="45"/>
  <c r="M20" i="45" s="1"/>
  <c r="H32" i="45"/>
  <c r="H24" i="45"/>
  <c r="H25" i="45"/>
  <c r="H31" i="45"/>
  <c r="N27" i="45"/>
  <c r="J13" i="45"/>
  <c r="J12" i="45" s="1"/>
  <c r="F16" i="45"/>
  <c r="G16" i="45" s="1"/>
  <c r="H13" i="45"/>
  <c r="H12" i="45" s="1"/>
  <c r="H10" i="45" s="1"/>
  <c r="I11" i="45" s="1"/>
  <c r="C10" i="42"/>
  <c r="D10" i="42" s="1"/>
  <c r="D22" i="42"/>
  <c r="C18" i="42"/>
  <c r="D18" i="42" s="1"/>
  <c r="G12" i="42"/>
  <c r="K12" i="42"/>
  <c r="I12" i="42"/>
  <c r="F12" i="42"/>
  <c r="H11" i="42"/>
  <c r="J11" i="42"/>
  <c r="K11" i="42" s="1"/>
  <c r="G11" i="40"/>
  <c r="J10" i="40"/>
  <c r="K10" i="40" s="1"/>
  <c r="F11" i="40"/>
  <c r="H10" i="40"/>
  <c r="C18" i="40"/>
  <c r="D18" i="40" s="1"/>
  <c r="J6" i="39"/>
  <c r="K6" i="39" s="1"/>
  <c r="G7" i="39"/>
  <c r="D6" i="39"/>
  <c r="I41" i="39"/>
  <c r="H40" i="39"/>
  <c r="F40" i="39" s="1"/>
  <c r="C48" i="39"/>
  <c r="D48" i="39" s="1"/>
  <c r="I53" i="39"/>
  <c r="K53" i="39"/>
  <c r="G41" i="39"/>
  <c r="K41" i="39"/>
  <c r="J40" i="39"/>
  <c r="K40" i="39" s="1"/>
  <c r="F6" i="39"/>
  <c r="I6" i="39"/>
  <c r="H5" i="39"/>
  <c r="G113" i="38"/>
  <c r="K113" i="38"/>
  <c r="J112" i="38"/>
  <c r="K112" i="38" s="1"/>
  <c r="F113" i="38"/>
  <c r="I113" i="38"/>
  <c r="H112" i="38"/>
  <c r="I153" i="38"/>
  <c r="F153" i="38"/>
  <c r="H150" i="38"/>
  <c r="J150" i="38"/>
  <c r="K150" i="38" s="1"/>
  <c r="D160" i="38"/>
  <c r="C156" i="38"/>
  <c r="D156" i="38" s="1"/>
  <c r="G153" i="38"/>
  <c r="J78" i="38"/>
  <c r="J77" i="38" s="1"/>
  <c r="K77" i="38" s="1"/>
  <c r="K80" i="38"/>
  <c r="H78" i="38"/>
  <c r="I78" i="38" s="1"/>
  <c r="I80" i="38"/>
  <c r="C76" i="38"/>
  <c r="D76" i="38" s="1"/>
  <c r="D77" i="38"/>
  <c r="F81" i="38"/>
  <c r="G81" i="38"/>
  <c r="Q45" i="63" l="1"/>
  <c r="K48" i="63"/>
  <c r="L48" i="63" s="1"/>
  <c r="M47" i="63"/>
  <c r="J10" i="45"/>
  <c r="K11" i="45" s="1"/>
  <c r="F12" i="45"/>
  <c r="S27" i="45"/>
  <c r="L27" i="45"/>
  <c r="M27" i="45" s="1"/>
  <c r="F58" i="39"/>
  <c r="F54" i="39"/>
  <c r="F51" i="39"/>
  <c r="H30" i="45"/>
  <c r="H26" i="45" s="1"/>
  <c r="H23" i="45"/>
  <c r="H19" i="45" s="1"/>
  <c r="B11" i="45" s="1"/>
  <c r="P13" i="45"/>
  <c r="P12" i="45" s="1"/>
  <c r="P10" i="45" s="1"/>
  <c r="L16" i="45"/>
  <c r="M16" i="45" s="1"/>
  <c r="S16" i="45"/>
  <c r="N13" i="45"/>
  <c r="S14" i="45"/>
  <c r="S15" i="45"/>
  <c r="N23" i="45"/>
  <c r="N30" i="45"/>
  <c r="F13" i="45"/>
  <c r="G13" i="45" s="1"/>
  <c r="J10" i="42"/>
  <c r="K10" i="42" s="1"/>
  <c r="G11" i="42"/>
  <c r="H10" i="42"/>
  <c r="I11" i="42"/>
  <c r="F11" i="42"/>
  <c r="F10" i="40"/>
  <c r="I10" i="40"/>
  <c r="F65" i="39"/>
  <c r="J5" i="39"/>
  <c r="K5" i="39" s="1"/>
  <c r="G6" i="39"/>
  <c r="F5" i="39"/>
  <c r="F61" i="39" s="1"/>
  <c r="I5" i="39"/>
  <c r="G40" i="39"/>
  <c r="I112" i="38"/>
  <c r="F112" i="38"/>
  <c r="G112" i="38" s="1"/>
  <c r="I150" i="38"/>
  <c r="F150" i="38"/>
  <c r="H149" i="38"/>
  <c r="J149" i="38"/>
  <c r="K149" i="38" s="1"/>
  <c r="G150" i="38"/>
  <c r="F78" i="38"/>
  <c r="H77" i="38"/>
  <c r="I77" i="38" s="1"/>
  <c r="G78" i="38"/>
  <c r="K78" i="38"/>
  <c r="G77" i="38"/>
  <c r="J76" i="38"/>
  <c r="K76" i="38" s="1"/>
  <c r="M45" i="63" l="1"/>
  <c r="K45" i="63" s="1"/>
  <c r="L45" i="63" s="1"/>
  <c r="K47" i="63"/>
  <c r="L47" i="63" s="1"/>
  <c r="O47" i="63" s="1"/>
  <c r="O45" i="63" s="1"/>
  <c r="Q24" i="45"/>
  <c r="S30" i="45"/>
  <c r="L30" i="45"/>
  <c r="M30" i="45" s="1"/>
  <c r="G10" i="40"/>
  <c r="F24" i="40"/>
  <c r="F21" i="40"/>
  <c r="F35" i="40"/>
  <c r="F31" i="40"/>
  <c r="F28" i="40"/>
  <c r="Q34" i="45"/>
  <c r="Q22" i="45"/>
  <c r="Q15" i="45"/>
  <c r="Q16" i="45"/>
  <c r="Q32" i="45"/>
  <c r="Q29" i="45"/>
  <c r="Q27" i="45"/>
  <c r="Q11" i="45"/>
  <c r="Q33" i="45"/>
  <c r="Q31" i="45"/>
  <c r="Q19" i="45"/>
  <c r="Q26" i="45"/>
  <c r="Q12" i="45"/>
  <c r="Q21" i="45"/>
  <c r="Q28" i="45"/>
  <c r="Q13" i="45"/>
  <c r="Q14" i="45"/>
  <c r="Q35" i="45"/>
  <c r="Q36" i="45"/>
  <c r="Q17" i="45"/>
  <c r="Q18" i="45"/>
  <c r="Q25" i="45"/>
  <c r="Q20" i="45"/>
  <c r="Q30" i="45"/>
  <c r="Q23" i="45"/>
  <c r="L23" i="45"/>
  <c r="M23" i="45" s="1"/>
  <c r="S23" i="45"/>
  <c r="N12" i="45"/>
  <c r="S13" i="45"/>
  <c r="L13" i="45"/>
  <c r="M13" i="45" s="1"/>
  <c r="N19" i="45"/>
  <c r="S19" i="45" s="1"/>
  <c r="N26" i="45"/>
  <c r="G12" i="45"/>
  <c r="F10" i="42"/>
  <c r="I10" i="42"/>
  <c r="F23" i="39"/>
  <c r="F16" i="39"/>
  <c r="F26" i="39"/>
  <c r="G5" i="39"/>
  <c r="F30" i="39"/>
  <c r="F19" i="39"/>
  <c r="G54" i="39"/>
  <c r="J54" i="39" s="1"/>
  <c r="H54" i="39"/>
  <c r="G65" i="39"/>
  <c r="J65" i="39" s="1"/>
  <c r="H65" i="39"/>
  <c r="G58" i="39"/>
  <c r="J58" i="39" s="1"/>
  <c r="H58" i="39"/>
  <c r="G51" i="39"/>
  <c r="J51" i="39" s="1"/>
  <c r="H51" i="39"/>
  <c r="G149" i="38"/>
  <c r="I149" i="38"/>
  <c r="F149" i="38"/>
  <c r="H148" i="38"/>
  <c r="J148" i="38"/>
  <c r="K148" i="38" s="1"/>
  <c r="H76" i="38"/>
  <c r="I76" i="38" s="1"/>
  <c r="F77" i="38"/>
  <c r="L26" i="45" l="1"/>
  <c r="M26" i="45" s="1"/>
  <c r="S26" i="45"/>
  <c r="G28" i="40"/>
  <c r="J28" i="40" s="1"/>
  <c r="H28" i="40"/>
  <c r="G31" i="40"/>
  <c r="J31" i="40" s="1"/>
  <c r="H31" i="40"/>
  <c r="G21" i="40"/>
  <c r="J21" i="40" s="1"/>
  <c r="H21" i="40"/>
  <c r="H35" i="40"/>
  <c r="G35" i="40"/>
  <c r="J35" i="40" s="1"/>
  <c r="G24" i="40"/>
  <c r="J24" i="40" s="1"/>
  <c r="H24" i="40"/>
  <c r="S12" i="45"/>
  <c r="L12" i="45"/>
  <c r="M12" i="45" s="1"/>
  <c r="N10" i="45"/>
  <c r="L19" i="45"/>
  <c r="M19" i="45" s="1"/>
  <c r="F35" i="42"/>
  <c r="F31" i="42"/>
  <c r="F28" i="42"/>
  <c r="F24" i="42"/>
  <c r="F21" i="42"/>
  <c r="G10" i="42"/>
  <c r="G30" i="39"/>
  <c r="J30" i="39" s="1"/>
  <c r="H30" i="39"/>
  <c r="K51" i="39"/>
  <c r="J49" i="39"/>
  <c r="G26" i="39"/>
  <c r="J26" i="39" s="1"/>
  <c r="H26" i="39"/>
  <c r="G16" i="39"/>
  <c r="J16" i="39" s="1"/>
  <c r="H16" i="39"/>
  <c r="I58" i="39"/>
  <c r="H56" i="39"/>
  <c r="F56" i="39" s="1"/>
  <c r="I65" i="39"/>
  <c r="H63" i="39"/>
  <c r="F63" i="39" s="1"/>
  <c r="I54" i="39"/>
  <c r="H52" i="39"/>
  <c r="F52" i="39" s="1"/>
  <c r="G23" i="39"/>
  <c r="J23" i="39" s="1"/>
  <c r="H23" i="39"/>
  <c r="I51" i="39"/>
  <c r="H49" i="39"/>
  <c r="F49" i="39" s="1"/>
  <c r="G61" i="39"/>
  <c r="J61" i="39" s="1"/>
  <c r="H61" i="39"/>
  <c r="K58" i="39"/>
  <c r="J56" i="39"/>
  <c r="K65" i="39"/>
  <c r="J63" i="39"/>
  <c r="K54" i="39"/>
  <c r="J52" i="39"/>
  <c r="G19" i="39"/>
  <c r="J19" i="39" s="1"/>
  <c r="H19" i="39"/>
  <c r="I148" i="38"/>
  <c r="F148" i="38"/>
  <c r="F159" i="38" s="1"/>
  <c r="F76" i="38"/>
  <c r="T6" i="45" l="1"/>
  <c r="R11" i="45" s="1"/>
  <c r="K35" i="40"/>
  <c r="J33" i="40"/>
  <c r="H33" i="40"/>
  <c r="I35" i="40"/>
  <c r="I21" i="40"/>
  <c r="H19" i="40"/>
  <c r="K21" i="40"/>
  <c r="J19" i="40"/>
  <c r="H29" i="40"/>
  <c r="I31" i="40"/>
  <c r="K24" i="40"/>
  <c r="J22" i="40"/>
  <c r="K31" i="40"/>
  <c r="J29" i="40"/>
  <c r="I24" i="40"/>
  <c r="H22" i="40"/>
  <c r="H26" i="40"/>
  <c r="I28" i="40"/>
  <c r="K28" i="40"/>
  <c r="J26" i="40"/>
  <c r="O17" i="45"/>
  <c r="O24" i="45"/>
  <c r="O27" i="45"/>
  <c r="O23" i="45"/>
  <c r="O28" i="45"/>
  <c r="O31" i="45"/>
  <c r="O30" i="45"/>
  <c r="O29" i="45"/>
  <c r="O33" i="45"/>
  <c r="O35" i="45"/>
  <c r="O16" i="45"/>
  <c r="O34" i="45"/>
  <c r="O21" i="45"/>
  <c r="O36" i="45"/>
  <c r="L10" i="45"/>
  <c r="M10" i="45" s="1"/>
  <c r="O18" i="45"/>
  <c r="O32" i="45"/>
  <c r="O26" i="45"/>
  <c r="O22" i="45"/>
  <c r="O25" i="45"/>
  <c r="O11" i="45"/>
  <c r="O20" i="45"/>
  <c r="O14" i="45"/>
  <c r="O15" i="45"/>
  <c r="O13" i="45"/>
  <c r="O12" i="45"/>
  <c r="O19" i="45"/>
  <c r="G35" i="42"/>
  <c r="J35" i="42" s="1"/>
  <c r="H35" i="42"/>
  <c r="H21" i="42"/>
  <c r="G21" i="42"/>
  <c r="J21" i="42" s="1"/>
  <c r="G24" i="42"/>
  <c r="J24" i="42" s="1"/>
  <c r="H24" i="42"/>
  <c r="G28" i="42"/>
  <c r="J28" i="42" s="1"/>
  <c r="H28" i="42"/>
  <c r="G31" i="42"/>
  <c r="J31" i="42" s="1"/>
  <c r="H31" i="42"/>
  <c r="K26" i="39"/>
  <c r="J24" i="39"/>
  <c r="I52" i="39"/>
  <c r="I16" i="39"/>
  <c r="H14" i="39"/>
  <c r="K49" i="39"/>
  <c r="G49" i="39"/>
  <c r="J48" i="39"/>
  <c r="H48" i="39"/>
  <c r="F48" i="39" s="1"/>
  <c r="I49" i="39"/>
  <c r="K16" i="39"/>
  <c r="J14" i="39"/>
  <c r="H62" i="39"/>
  <c r="F62" i="39" s="1"/>
  <c r="I63" i="39"/>
  <c r="I19" i="39"/>
  <c r="H17" i="39"/>
  <c r="K19" i="39"/>
  <c r="J17" i="39"/>
  <c r="I23" i="39"/>
  <c r="H21" i="39"/>
  <c r="K56" i="39"/>
  <c r="G56" i="39"/>
  <c r="K52" i="39"/>
  <c r="G52" i="39"/>
  <c r="H59" i="39"/>
  <c r="F59" i="39" s="1"/>
  <c r="I61" i="39"/>
  <c r="K23" i="39"/>
  <c r="J21" i="39"/>
  <c r="I56" i="39"/>
  <c r="I30" i="39"/>
  <c r="H28" i="39"/>
  <c r="K61" i="39"/>
  <c r="J59" i="39"/>
  <c r="J55" i="39" s="1"/>
  <c r="K30" i="39"/>
  <c r="J28" i="39"/>
  <c r="K63" i="39"/>
  <c r="J62" i="39"/>
  <c r="G63" i="39"/>
  <c r="I26" i="39"/>
  <c r="H24" i="39"/>
  <c r="F97" i="38"/>
  <c r="F130" i="38"/>
  <c r="F126" i="38"/>
  <c r="F123" i="38"/>
  <c r="F137" i="38"/>
  <c r="F133" i="38"/>
  <c r="F169" i="38"/>
  <c r="G169" i="38" s="1"/>
  <c r="J169" i="38" s="1"/>
  <c r="F166" i="38"/>
  <c r="G166" i="38" s="1"/>
  <c r="J166" i="38" s="1"/>
  <c r="G148" i="38"/>
  <c r="F173" i="38"/>
  <c r="G173" i="38" s="1"/>
  <c r="J173" i="38" s="1"/>
  <c r="F162" i="38"/>
  <c r="G162" i="38" s="1"/>
  <c r="J162" i="38" s="1"/>
  <c r="H159" i="38"/>
  <c r="F94" i="38"/>
  <c r="G76" i="38"/>
  <c r="F101" i="38"/>
  <c r="F90" i="38"/>
  <c r="F87" i="38"/>
  <c r="H39" i="38"/>
  <c r="I40" i="38" s="1"/>
  <c r="G39" i="38"/>
  <c r="J39" i="38" s="1"/>
  <c r="E45" i="38"/>
  <c r="E42" i="38"/>
  <c r="G64" i="38"/>
  <c r="B62" i="38"/>
  <c r="D61" i="38"/>
  <c r="C61" i="38" s="1"/>
  <c r="G60" i="38"/>
  <c r="D60" i="38"/>
  <c r="C60" i="38" s="1"/>
  <c r="D58" i="38"/>
  <c r="C58" i="38" s="1"/>
  <c r="G57" i="38"/>
  <c r="D57" i="38"/>
  <c r="C57" i="38" s="1"/>
  <c r="G53" i="38"/>
  <c r="D51" i="38"/>
  <c r="C51" i="38" s="1"/>
  <c r="G50" i="38"/>
  <c r="G47" i="38"/>
  <c r="G46" i="38"/>
  <c r="B45" i="38"/>
  <c r="D46" i="38" s="1"/>
  <c r="C46" i="38" s="1"/>
  <c r="J46" i="38" s="1"/>
  <c r="K46" i="38" s="1"/>
  <c r="G44" i="38"/>
  <c r="G43" i="38"/>
  <c r="R10" i="45" l="1"/>
  <c r="R9" i="45" s="1"/>
  <c r="S11" i="45"/>
  <c r="K29" i="40"/>
  <c r="G29" i="40"/>
  <c r="I19" i="40"/>
  <c r="F19" i="40"/>
  <c r="H18" i="40"/>
  <c r="I29" i="40"/>
  <c r="F29" i="40"/>
  <c r="K26" i="40"/>
  <c r="J25" i="40"/>
  <c r="G26" i="40"/>
  <c r="I33" i="40"/>
  <c r="F33" i="40"/>
  <c r="H32" i="40"/>
  <c r="K19" i="40"/>
  <c r="G19" i="40"/>
  <c r="J18" i="40"/>
  <c r="K33" i="40"/>
  <c r="J32" i="40"/>
  <c r="G33" i="40"/>
  <c r="I26" i="40"/>
  <c r="H25" i="40"/>
  <c r="F26" i="40"/>
  <c r="I22" i="40"/>
  <c r="F22" i="40"/>
  <c r="K22" i="40"/>
  <c r="G22" i="40"/>
  <c r="H26" i="42"/>
  <c r="I28" i="42"/>
  <c r="K28" i="42"/>
  <c r="J26" i="42"/>
  <c r="I24" i="42"/>
  <c r="H22" i="42"/>
  <c r="K24" i="42"/>
  <c r="J22" i="42"/>
  <c r="K21" i="42"/>
  <c r="J19" i="42"/>
  <c r="I21" i="42"/>
  <c r="H19" i="42"/>
  <c r="I31" i="42"/>
  <c r="H29" i="42"/>
  <c r="I35" i="42"/>
  <c r="H33" i="42"/>
  <c r="K31" i="42"/>
  <c r="J29" i="42"/>
  <c r="K35" i="42"/>
  <c r="J33" i="42"/>
  <c r="K55" i="39"/>
  <c r="G55" i="39"/>
  <c r="J20" i="39"/>
  <c r="K21" i="39"/>
  <c r="G21" i="39"/>
  <c r="I62" i="39"/>
  <c r="I48" i="39"/>
  <c r="F14" i="39"/>
  <c r="I14" i="39"/>
  <c r="H13" i="39"/>
  <c r="G62" i="39"/>
  <c r="K62" i="39"/>
  <c r="K59" i="39"/>
  <c r="G59" i="39"/>
  <c r="I17" i="39"/>
  <c r="F17" i="39"/>
  <c r="G14" i="39"/>
  <c r="J13" i="39"/>
  <c r="K14" i="39"/>
  <c r="G48" i="39"/>
  <c r="K48" i="39"/>
  <c r="I59" i="39"/>
  <c r="K28" i="39"/>
  <c r="G28" i="39"/>
  <c r="J27" i="39"/>
  <c r="H55" i="39"/>
  <c r="F55" i="39" s="1"/>
  <c r="F24" i="39"/>
  <c r="I24" i="39"/>
  <c r="K17" i="39"/>
  <c r="G17" i="39"/>
  <c r="F28" i="39"/>
  <c r="H27" i="39"/>
  <c r="I28" i="39"/>
  <c r="F21" i="39"/>
  <c r="H20" i="39"/>
  <c r="I20" i="39" s="1"/>
  <c r="I21" i="39"/>
  <c r="K24" i="39"/>
  <c r="G24" i="39"/>
  <c r="D64" i="38"/>
  <c r="C64" i="38" s="1"/>
  <c r="H64" i="38" s="1"/>
  <c r="I64" i="38" s="1"/>
  <c r="G130" i="38"/>
  <c r="J130" i="38" s="1"/>
  <c r="H130" i="38"/>
  <c r="H133" i="38"/>
  <c r="G133" i="38"/>
  <c r="J133" i="38" s="1"/>
  <c r="G137" i="38"/>
  <c r="J137" i="38" s="1"/>
  <c r="H137" i="38"/>
  <c r="G123" i="38"/>
  <c r="J123" i="38" s="1"/>
  <c r="H123" i="38"/>
  <c r="G126" i="38"/>
  <c r="J126" i="38" s="1"/>
  <c r="H126" i="38"/>
  <c r="H173" i="38"/>
  <c r="I173" i="38" s="1"/>
  <c r="H162" i="38"/>
  <c r="I162" i="38" s="1"/>
  <c r="H169" i="38"/>
  <c r="I169" i="38" s="1"/>
  <c r="G159" i="38"/>
  <c r="J159" i="38" s="1"/>
  <c r="J157" i="38" s="1"/>
  <c r="H166" i="38"/>
  <c r="H164" i="38" s="1"/>
  <c r="F164" i="38" s="1"/>
  <c r="K162" i="38"/>
  <c r="J160" i="38"/>
  <c r="K169" i="38"/>
  <c r="J167" i="38"/>
  <c r="I159" i="38"/>
  <c r="H157" i="38"/>
  <c r="F157" i="38" s="1"/>
  <c r="K173" i="38"/>
  <c r="J171" i="38"/>
  <c r="K166" i="38"/>
  <c r="J164" i="38"/>
  <c r="H46" i="38"/>
  <c r="I46" i="38" s="1"/>
  <c r="E41" i="38"/>
  <c r="E40" i="38" s="1"/>
  <c r="B42" i="38"/>
  <c r="D43" i="38" s="1"/>
  <c r="C43" i="38" s="1"/>
  <c r="H43" i="38" s="1"/>
  <c r="I43" i="38" s="1"/>
  <c r="J57" i="38"/>
  <c r="K57" i="38" s="1"/>
  <c r="B49" i="38"/>
  <c r="D50" i="38" s="1"/>
  <c r="C50" i="38" s="1"/>
  <c r="C49" i="38" s="1"/>
  <c r="J60" i="38"/>
  <c r="K60" i="38" s="1"/>
  <c r="H60" i="38"/>
  <c r="I60" i="38" s="1"/>
  <c r="C59" i="38"/>
  <c r="D59" i="38" s="1"/>
  <c r="D65" i="38"/>
  <c r="C65" i="38" s="1"/>
  <c r="C56" i="38"/>
  <c r="D47" i="38"/>
  <c r="C47" i="38" s="1"/>
  <c r="J47" i="38" s="1"/>
  <c r="K47" i="38" s="1"/>
  <c r="H57" i="38"/>
  <c r="I57" i="38" s="1"/>
  <c r="S10" i="45" l="1"/>
  <c r="T36" i="45" s="1"/>
  <c r="I32" i="40"/>
  <c r="F32" i="40"/>
  <c r="K18" i="40"/>
  <c r="G18" i="40"/>
  <c r="I25" i="40"/>
  <c r="F25" i="40"/>
  <c r="K25" i="40"/>
  <c r="G25" i="40"/>
  <c r="K32" i="40"/>
  <c r="G32" i="40"/>
  <c r="I18" i="40"/>
  <c r="F18" i="40"/>
  <c r="J64" i="38"/>
  <c r="K64" i="38" s="1"/>
  <c r="I33" i="42"/>
  <c r="H32" i="42"/>
  <c r="F33" i="42"/>
  <c r="G22" i="42"/>
  <c r="K22" i="42"/>
  <c r="I29" i="42"/>
  <c r="F29" i="42"/>
  <c r="F22" i="42"/>
  <c r="I22" i="42"/>
  <c r="J32" i="42"/>
  <c r="G33" i="42"/>
  <c r="K33" i="42"/>
  <c r="I19" i="42"/>
  <c r="F19" i="42"/>
  <c r="H18" i="42"/>
  <c r="G26" i="42"/>
  <c r="J25" i="42"/>
  <c r="K26" i="42"/>
  <c r="G29" i="42"/>
  <c r="K29" i="42"/>
  <c r="G19" i="42"/>
  <c r="J18" i="42"/>
  <c r="K19" i="42"/>
  <c r="F26" i="42"/>
  <c r="H25" i="42"/>
  <c r="I26" i="42"/>
  <c r="K27" i="39"/>
  <c r="G27" i="39"/>
  <c r="I55" i="39"/>
  <c r="I13" i="39"/>
  <c r="F13" i="39"/>
  <c r="G13" i="39"/>
  <c r="K13" i="39"/>
  <c r="F20" i="39"/>
  <c r="F27" i="39"/>
  <c r="I27" i="39"/>
  <c r="K20" i="39"/>
  <c r="G20" i="39"/>
  <c r="I123" i="38"/>
  <c r="H121" i="38"/>
  <c r="I126" i="38"/>
  <c r="H124" i="38"/>
  <c r="K123" i="38"/>
  <c r="J121" i="38"/>
  <c r="I130" i="38"/>
  <c r="H128" i="38"/>
  <c r="K126" i="38"/>
  <c r="J124" i="38"/>
  <c r="K130" i="38"/>
  <c r="J128" i="38"/>
  <c r="K137" i="38"/>
  <c r="J135" i="38"/>
  <c r="K133" i="38"/>
  <c r="J131" i="38"/>
  <c r="I137" i="38"/>
  <c r="H135" i="38"/>
  <c r="B52" i="38"/>
  <c r="D54" i="38" s="1"/>
  <c r="C54" i="38" s="1"/>
  <c r="I133" i="38"/>
  <c r="H131" i="38"/>
  <c r="H171" i="38"/>
  <c r="F171" i="38" s="1"/>
  <c r="H160" i="38"/>
  <c r="F160" i="38" s="1"/>
  <c r="H167" i="38"/>
  <c r="F167" i="38" s="1"/>
  <c r="K159" i="38"/>
  <c r="I166" i="38"/>
  <c r="K171" i="38"/>
  <c r="J170" i="38"/>
  <c r="G171" i="38"/>
  <c r="K167" i="38"/>
  <c r="G167" i="38"/>
  <c r="K157" i="38"/>
  <c r="G157" i="38"/>
  <c r="J156" i="38"/>
  <c r="K160" i="38"/>
  <c r="G160" i="38"/>
  <c r="K164" i="38"/>
  <c r="G164" i="38"/>
  <c r="J163" i="38"/>
  <c r="I157" i="38"/>
  <c r="I164" i="38"/>
  <c r="J43" i="38"/>
  <c r="K43" i="38" s="1"/>
  <c r="C45" i="38"/>
  <c r="D45" i="38" s="1"/>
  <c r="H47" i="38"/>
  <c r="D44" i="38"/>
  <c r="C44" i="38" s="1"/>
  <c r="H44" i="38" s="1"/>
  <c r="H50" i="38"/>
  <c r="I50" i="38" s="1"/>
  <c r="J50" i="38"/>
  <c r="K50" i="38" s="1"/>
  <c r="C63" i="38"/>
  <c r="C55" i="38"/>
  <c r="D55" i="38" s="1"/>
  <c r="D56" i="38"/>
  <c r="D49" i="38"/>
  <c r="T11" i="45" l="1"/>
  <c r="T12" i="45"/>
  <c r="D53" i="38"/>
  <c r="C53" i="38" s="1"/>
  <c r="I18" i="42"/>
  <c r="F18" i="42"/>
  <c r="K18" i="42"/>
  <c r="G18" i="42"/>
  <c r="K32" i="42"/>
  <c r="G32" i="42"/>
  <c r="I32" i="42"/>
  <c r="F32" i="42"/>
  <c r="F25" i="42"/>
  <c r="I25" i="42"/>
  <c r="G25" i="42"/>
  <c r="K25" i="42"/>
  <c r="G135" i="38"/>
  <c r="J134" i="38"/>
  <c r="K135" i="38"/>
  <c r="F128" i="38"/>
  <c r="H127" i="38"/>
  <c r="I128" i="38"/>
  <c r="G121" i="38"/>
  <c r="J120" i="38"/>
  <c r="K121" i="38"/>
  <c r="F135" i="38"/>
  <c r="H134" i="38"/>
  <c r="I135" i="38"/>
  <c r="K128" i="38"/>
  <c r="G128" i="38"/>
  <c r="J127" i="38"/>
  <c r="F124" i="38"/>
  <c r="I124" i="38"/>
  <c r="G131" i="38"/>
  <c r="K131" i="38"/>
  <c r="G124" i="38"/>
  <c r="K124" i="38"/>
  <c r="I121" i="38"/>
  <c r="F121" i="38"/>
  <c r="H120" i="38"/>
  <c r="F131" i="38"/>
  <c r="I131" i="38"/>
  <c r="I171" i="38"/>
  <c r="H170" i="38"/>
  <c r="F170" i="38" s="1"/>
  <c r="H156" i="38"/>
  <c r="F156" i="38" s="1"/>
  <c r="I160" i="38"/>
  <c r="H163" i="38"/>
  <c r="F163" i="38" s="1"/>
  <c r="I167" i="38"/>
  <c r="K156" i="38"/>
  <c r="G156" i="38"/>
  <c r="K163" i="38"/>
  <c r="G163" i="38"/>
  <c r="K170" i="38"/>
  <c r="G170" i="38"/>
  <c r="H45" i="38"/>
  <c r="I45" i="38" s="1"/>
  <c r="I47" i="38"/>
  <c r="H42" i="38"/>
  <c r="I42" i="38" s="1"/>
  <c r="I44" i="38"/>
  <c r="J44" i="38"/>
  <c r="C42" i="38"/>
  <c r="D63" i="38"/>
  <c r="C62" i="38"/>
  <c r="D62" i="38" s="1"/>
  <c r="J45" i="38"/>
  <c r="K45" i="38" s="1"/>
  <c r="J53" i="38"/>
  <c r="K53" i="38" s="1"/>
  <c r="C52" i="38"/>
  <c r="H53" i="38"/>
  <c r="I53" i="38" s="1"/>
  <c r="I170" i="38" l="1"/>
  <c r="K120" i="38"/>
  <c r="G120" i="38"/>
  <c r="G127" i="38"/>
  <c r="K127" i="38"/>
  <c r="I120" i="38"/>
  <c r="F120" i="38"/>
  <c r="F127" i="38"/>
  <c r="I127" i="38"/>
  <c r="I134" i="38"/>
  <c r="F134" i="38"/>
  <c r="G134" i="38"/>
  <c r="K134" i="38"/>
  <c r="I163" i="38"/>
  <c r="I156" i="38"/>
  <c r="H41" i="38"/>
  <c r="H40" i="38" s="1"/>
  <c r="J42" i="38"/>
  <c r="K42" i="38" s="1"/>
  <c r="K44" i="38"/>
  <c r="C41" i="38"/>
  <c r="D42" i="38"/>
  <c r="D52" i="38"/>
  <c r="C48" i="38"/>
  <c r="D48" i="38" s="1"/>
  <c r="G45" i="38"/>
  <c r="F45" i="38"/>
  <c r="F42" i="38"/>
  <c r="J41" i="38" l="1"/>
  <c r="K41" i="38" s="1"/>
  <c r="G42" i="38"/>
  <c r="I41" i="38"/>
  <c r="D41" i="38"/>
  <c r="C40" i="38"/>
  <c r="D40" i="38" s="1"/>
  <c r="F41" i="38"/>
  <c r="J40" i="38" l="1"/>
  <c r="K40" i="38" s="1"/>
  <c r="G41" i="38"/>
  <c r="F40" i="38"/>
  <c r="F54" i="38" l="1"/>
  <c r="F51" i="38"/>
  <c r="F58" i="38"/>
  <c r="G40" i="38"/>
  <c r="F65" i="38"/>
  <c r="G90" i="38" l="1"/>
  <c r="J90" i="38" s="1"/>
  <c r="H90" i="38"/>
  <c r="G87" i="38"/>
  <c r="J87" i="38" s="1"/>
  <c r="H87" i="38"/>
  <c r="G94" i="38"/>
  <c r="J94" i="38" s="1"/>
  <c r="H94" i="38"/>
  <c r="I94" i="38" s="1"/>
  <c r="G101" i="38"/>
  <c r="J101" i="38" s="1"/>
  <c r="H101" i="38"/>
  <c r="G97" i="38"/>
  <c r="J97" i="38" s="1"/>
  <c r="H97" i="38"/>
  <c r="H4" i="38"/>
  <c r="B10" i="38"/>
  <c r="B7" i="38" s="1"/>
  <c r="D9" i="38" l="1"/>
  <c r="C9" i="38" s="1"/>
  <c r="D8" i="38"/>
  <c r="H99" i="38"/>
  <c r="I99" i="38" s="1"/>
  <c r="I101" i="38"/>
  <c r="J99" i="38"/>
  <c r="K99" i="38" s="1"/>
  <c r="K101" i="38"/>
  <c r="H95" i="38"/>
  <c r="I97" i="38"/>
  <c r="J95" i="38"/>
  <c r="K95" i="38" s="1"/>
  <c r="K97" i="38"/>
  <c r="J92" i="38"/>
  <c r="K94" i="38"/>
  <c r="H88" i="38"/>
  <c r="I90" i="38"/>
  <c r="J88" i="38"/>
  <c r="K90" i="38"/>
  <c r="J85" i="38"/>
  <c r="K85" i="38" s="1"/>
  <c r="K87" i="38"/>
  <c r="H85" i="38"/>
  <c r="I85" i="38" s="1"/>
  <c r="I87" i="38"/>
  <c r="H92" i="38"/>
  <c r="I92" i="38" s="1"/>
  <c r="D11" i="38"/>
  <c r="F99" i="38" l="1"/>
  <c r="C8" i="38"/>
  <c r="C7" i="38" s="1"/>
  <c r="H84" i="38"/>
  <c r="F84" i="38" s="1"/>
  <c r="F85" i="38"/>
  <c r="G85" i="38"/>
  <c r="J84" i="38"/>
  <c r="K84" i="38" s="1"/>
  <c r="G95" i="38"/>
  <c r="J91" i="38"/>
  <c r="G91" i="38" s="1"/>
  <c r="J98" i="38"/>
  <c r="G99" i="38"/>
  <c r="H98" i="38"/>
  <c r="F95" i="38"/>
  <c r="I95" i="38"/>
  <c r="G92" i="38"/>
  <c r="K92" i="38"/>
  <c r="G88" i="38"/>
  <c r="K88" i="38"/>
  <c r="F88" i="38"/>
  <c r="I88" i="38"/>
  <c r="I84" i="38"/>
  <c r="H91" i="38"/>
  <c r="I91" i="38" s="1"/>
  <c r="F92" i="38"/>
  <c r="C11" i="38"/>
  <c r="H11" i="38" s="1"/>
  <c r="B27" i="38"/>
  <c r="D23" i="38"/>
  <c r="H8" i="38" l="1"/>
  <c r="G84" i="38"/>
  <c r="K91" i="38"/>
  <c r="F98" i="38"/>
  <c r="I98" i="38"/>
  <c r="G98" i="38"/>
  <c r="K98" i="38"/>
  <c r="F91" i="38"/>
  <c r="H9" i="38" l="1"/>
  <c r="D30" i="38"/>
  <c r="D29" i="38"/>
  <c r="D22" i="38"/>
  <c r="D26" i="38"/>
  <c r="D25" i="38"/>
  <c r="D16" i="38"/>
  <c r="B14" i="38" s="1"/>
  <c r="B17" i="38" s="1"/>
  <c r="D19" i="38" s="1"/>
  <c r="G4" i="38" l="1"/>
  <c r="D12" i="38"/>
  <c r="C16" i="38"/>
  <c r="D18" i="38"/>
  <c r="D15" i="38"/>
  <c r="C30" i="38" l="1"/>
  <c r="G29" i="38"/>
  <c r="C29" i="38"/>
  <c r="C26" i="38"/>
  <c r="G25" i="38"/>
  <c r="C25" i="38"/>
  <c r="C23" i="38"/>
  <c r="G22" i="38"/>
  <c r="C22" i="38"/>
  <c r="G18" i="38"/>
  <c r="C18" i="38"/>
  <c r="G15" i="38"/>
  <c r="C15" i="38"/>
  <c r="G12" i="38"/>
  <c r="C12" i="38"/>
  <c r="G11" i="38"/>
  <c r="G8" i="38"/>
  <c r="C10" i="38" l="1"/>
  <c r="H12" i="38"/>
  <c r="H10" i="38" s="1"/>
  <c r="C14" i="38"/>
  <c r="D14" i="38" s="1"/>
  <c r="H15" i="38"/>
  <c r="J11" i="38"/>
  <c r="C28" i="38"/>
  <c r="D28" i="38" s="1"/>
  <c r="C24" i="38"/>
  <c r="J18" i="38"/>
  <c r="J12" i="38"/>
  <c r="J8" i="38"/>
  <c r="J22" i="38"/>
  <c r="C21" i="38"/>
  <c r="J25" i="38"/>
  <c r="J29" i="38"/>
  <c r="J15" i="38"/>
  <c r="H18" i="38"/>
  <c r="H22" i="38"/>
  <c r="H25" i="38"/>
  <c r="H29" i="38"/>
  <c r="D10" i="38" l="1"/>
  <c r="C6" i="38"/>
  <c r="D7" i="38"/>
  <c r="J10" i="38"/>
  <c r="G10" i="38" s="1"/>
  <c r="C27" i="38"/>
  <c r="D27" i="38" s="1"/>
  <c r="D24" i="38"/>
  <c r="C20" i="38"/>
  <c r="D20" i="38" s="1"/>
  <c r="D21" i="38"/>
  <c r="D6" i="38" l="1"/>
  <c r="C5" i="38"/>
  <c r="D5" i="38" s="1"/>
  <c r="F10" i="38"/>
  <c r="N47" i="18" l="1"/>
  <c r="H47" i="18"/>
  <c r="F47" i="18"/>
  <c r="D47" i="18"/>
  <c r="I47" i="18" s="1"/>
  <c r="C47" i="18"/>
  <c r="N46" i="18"/>
  <c r="H46" i="18"/>
  <c r="C46" i="18"/>
  <c r="D46" i="18" s="1"/>
  <c r="C44" i="18"/>
  <c r="D44" i="18" s="1"/>
  <c r="N43" i="18"/>
  <c r="H43" i="18"/>
  <c r="C43" i="18"/>
  <c r="D43" i="18" s="1"/>
  <c r="O42" i="18"/>
  <c r="N42" i="18"/>
  <c r="H42" i="18"/>
  <c r="F42" i="18"/>
  <c r="C42" i="18"/>
  <c r="D42" i="18" s="1"/>
  <c r="I42" i="18" s="1"/>
  <c r="L42" i="18" s="1"/>
  <c r="C40" i="18"/>
  <c r="D40" i="18" s="1"/>
  <c r="D38" i="18"/>
  <c r="N37" i="18"/>
  <c r="H37" i="18"/>
  <c r="N36" i="18"/>
  <c r="H36" i="18"/>
  <c r="N33" i="18"/>
  <c r="H33" i="18"/>
  <c r="N32" i="18"/>
  <c r="L32" i="18"/>
  <c r="H32" i="18"/>
  <c r="F32" i="18"/>
  <c r="D32" i="18"/>
  <c r="I32" i="18" s="1"/>
  <c r="C30" i="18"/>
  <c r="D28" i="18"/>
  <c r="N27" i="18"/>
  <c r="H27" i="18"/>
  <c r="N26" i="18"/>
  <c r="H26" i="18"/>
  <c r="N23" i="18"/>
  <c r="H23" i="18"/>
  <c r="O22" i="18"/>
  <c r="N22" i="18"/>
  <c r="L22" i="18"/>
  <c r="H22" i="18"/>
  <c r="F22" i="18"/>
  <c r="D22" i="18"/>
  <c r="I22" i="18" s="1"/>
  <c r="C20" i="18"/>
  <c r="D18" i="18"/>
  <c r="N17" i="18"/>
  <c r="H17" i="18"/>
  <c r="D17" i="18"/>
  <c r="C17" i="18"/>
  <c r="N16" i="18"/>
  <c r="I16" i="18"/>
  <c r="H16" i="18"/>
  <c r="C16" i="18"/>
  <c r="D16" i="18" s="1"/>
  <c r="F16" i="18" s="1"/>
  <c r="D14" i="18"/>
  <c r="N13" i="18"/>
  <c r="H13" i="18"/>
  <c r="N12" i="18"/>
  <c r="H12" i="18"/>
  <c r="D8" i="18"/>
  <c r="D7" i="18" s="1"/>
  <c r="I7" i="18" s="1"/>
  <c r="N7" i="18"/>
  <c r="H7" i="18"/>
  <c r="F7" i="18"/>
  <c r="C34" i="18" l="1"/>
  <c r="C33" i="18"/>
  <c r="D33" i="18" s="1"/>
  <c r="D30" i="18"/>
  <c r="L16" i="18"/>
  <c r="O16" i="18"/>
  <c r="O7" i="18"/>
  <c r="L7" i="18"/>
  <c r="F17" i="18"/>
  <c r="I17" i="18"/>
  <c r="I46" i="18"/>
  <c r="F46" i="18"/>
  <c r="C24" i="18"/>
  <c r="C23" i="18"/>
  <c r="D20" i="18"/>
  <c r="O32" i="18"/>
  <c r="L47" i="18"/>
  <c r="O47" i="18"/>
  <c r="I43" i="18"/>
  <c r="F43" i="18"/>
  <c r="L17" i="18" l="1"/>
  <c r="O17" i="18"/>
  <c r="D24" i="18"/>
  <c r="C27" i="18"/>
  <c r="D27" i="18" s="1"/>
  <c r="C26" i="18"/>
  <c r="D26" i="18" s="1"/>
  <c r="L46" i="18"/>
  <c r="I44" i="18"/>
  <c r="O46" i="18"/>
  <c r="I14" i="18"/>
  <c r="L43" i="18"/>
  <c r="O43" i="18"/>
  <c r="I40" i="18"/>
  <c r="O14" i="18"/>
  <c r="I33" i="18"/>
  <c r="F33" i="18"/>
  <c r="D23" i="18"/>
  <c r="C12" i="18"/>
  <c r="F44" i="18"/>
  <c r="F40" i="18"/>
  <c r="F14" i="18"/>
  <c r="D34" i="18"/>
  <c r="C36" i="18"/>
  <c r="D36" i="18" s="1"/>
  <c r="C37" i="18"/>
  <c r="D37" i="18" s="1"/>
  <c r="L40" i="18" l="1"/>
  <c r="I23" i="18"/>
  <c r="F23" i="18"/>
  <c r="O33" i="18"/>
  <c r="L33" i="18"/>
  <c r="I30" i="18"/>
  <c r="L44" i="18"/>
  <c r="F36" i="18"/>
  <c r="I36" i="18"/>
  <c r="O44" i="18"/>
  <c r="F26" i="18"/>
  <c r="I26" i="18"/>
  <c r="F37" i="18"/>
  <c r="I37" i="18"/>
  <c r="F38" i="18"/>
  <c r="I38" i="18"/>
  <c r="L14" i="18"/>
  <c r="C13" i="18"/>
  <c r="D13" i="18" s="1"/>
  <c r="D12" i="18"/>
  <c r="F30" i="18"/>
  <c r="O40" i="18"/>
  <c r="F27" i="18"/>
  <c r="I27" i="18"/>
  <c r="L27" i="18" l="1"/>
  <c r="O27" i="18"/>
  <c r="L37" i="18"/>
  <c r="O37" i="18"/>
  <c r="F24" i="18"/>
  <c r="O30" i="18"/>
  <c r="C10" i="18"/>
  <c r="D10" i="18" s="1"/>
  <c r="O38" i="18"/>
  <c r="I12" i="18"/>
  <c r="F12" i="18"/>
  <c r="L36" i="18"/>
  <c r="O36" i="18"/>
  <c r="I34" i="18"/>
  <c r="I28" i="18"/>
  <c r="F20" i="18"/>
  <c r="L38" i="18"/>
  <c r="I13" i="18"/>
  <c r="F13" i="18"/>
  <c r="L26" i="18"/>
  <c r="O26" i="18"/>
  <c r="I24" i="18"/>
  <c r="F34" i="18"/>
  <c r="L30" i="18"/>
  <c r="L23" i="18"/>
  <c r="I20" i="18"/>
  <c r="O23" i="18"/>
  <c r="L13" i="18" l="1"/>
  <c r="O13" i="18"/>
  <c r="L24" i="18"/>
  <c r="O34" i="18"/>
  <c r="O28" i="18" s="1"/>
  <c r="I18" i="18"/>
  <c r="L20" i="18"/>
  <c r="F18" i="18"/>
  <c r="L34" i="18"/>
  <c r="F10" i="18"/>
  <c r="F28" i="18"/>
  <c r="O24" i="18"/>
  <c r="O20" i="18"/>
  <c r="L28" i="18"/>
  <c r="L12" i="18"/>
  <c r="I10" i="18"/>
  <c r="O12" i="18"/>
  <c r="L18" i="18" l="1"/>
  <c r="F8" i="18"/>
  <c r="I8" i="18"/>
  <c r="L10" i="18"/>
  <c r="O18" i="18"/>
  <c r="O10" i="18"/>
  <c r="L8" i="18" l="1"/>
  <c r="F4" i="18"/>
  <c r="I4" i="18"/>
  <c r="J8" i="18" s="1"/>
  <c r="O8" i="18"/>
  <c r="P10" i="18"/>
  <c r="P18" i="18"/>
  <c r="G45" i="18" l="1"/>
  <c r="G31" i="18"/>
  <c r="G21" i="18"/>
  <c r="G11" i="18"/>
  <c r="F5" i="18"/>
  <c r="G39" i="18"/>
  <c r="G29" i="18"/>
  <c r="G15" i="18"/>
  <c r="G9" i="18"/>
  <c r="G32" i="18"/>
  <c r="G35" i="18"/>
  <c r="G25" i="18"/>
  <c r="G41" i="18"/>
  <c r="G19" i="18"/>
  <c r="G47" i="18"/>
  <c r="G42" i="18"/>
  <c r="G22" i="18"/>
  <c r="G16" i="18"/>
  <c r="G17" i="18"/>
  <c r="G46" i="18"/>
  <c r="G43" i="18"/>
  <c r="G44" i="18"/>
  <c r="G33" i="18"/>
  <c r="G40" i="18"/>
  <c r="G14" i="18"/>
  <c r="G23" i="18"/>
  <c r="G36" i="18"/>
  <c r="G26" i="18"/>
  <c r="G27" i="18"/>
  <c r="G30" i="18"/>
  <c r="G37" i="18"/>
  <c r="G38" i="18"/>
  <c r="G12" i="18"/>
  <c r="G13" i="18"/>
  <c r="G34" i="18"/>
  <c r="G20" i="18"/>
  <c r="G24" i="18"/>
  <c r="G10" i="18"/>
  <c r="G18" i="18"/>
  <c r="G28" i="18"/>
  <c r="G8" i="18"/>
  <c r="L4" i="18"/>
  <c r="P8" i="18"/>
  <c r="O4" i="18"/>
  <c r="P7" i="18" s="1"/>
  <c r="P45" i="18"/>
  <c r="J41" i="18"/>
  <c r="P41" i="18"/>
  <c r="P35" i="18"/>
  <c r="P25" i="18"/>
  <c r="P15" i="18"/>
  <c r="J39" i="18"/>
  <c r="P31" i="18"/>
  <c r="J29" i="18"/>
  <c r="P21" i="18"/>
  <c r="J19" i="18"/>
  <c r="P11" i="18"/>
  <c r="J9" i="18"/>
  <c r="J45" i="18"/>
  <c r="P19" i="18"/>
  <c r="P42" i="18"/>
  <c r="P29" i="18"/>
  <c r="P39" i="18"/>
  <c r="J35" i="18"/>
  <c r="J21" i="18"/>
  <c r="J11" i="18"/>
  <c r="J31" i="18"/>
  <c r="J15" i="18"/>
  <c r="J25" i="18"/>
  <c r="P9" i="18"/>
  <c r="J42" i="18"/>
  <c r="J22" i="18"/>
  <c r="J32" i="18"/>
  <c r="J47" i="18"/>
  <c r="P22" i="18"/>
  <c r="J16" i="18"/>
  <c r="P32" i="18"/>
  <c r="J17" i="18"/>
  <c r="P47" i="18"/>
  <c r="J43" i="18"/>
  <c r="J46" i="18"/>
  <c r="P16" i="18"/>
  <c r="J14" i="18"/>
  <c r="P43" i="18"/>
  <c r="J33" i="18"/>
  <c r="J40" i="18"/>
  <c r="P17" i="18"/>
  <c r="P46" i="18"/>
  <c r="P14" i="18"/>
  <c r="J44" i="18"/>
  <c r="P33" i="18"/>
  <c r="J26" i="18"/>
  <c r="J23" i="18"/>
  <c r="J27" i="18"/>
  <c r="J37" i="18"/>
  <c r="J38" i="18"/>
  <c r="P44" i="18"/>
  <c r="P40" i="18"/>
  <c r="J36" i="18"/>
  <c r="J30" i="18"/>
  <c r="J13" i="18"/>
  <c r="P23" i="18"/>
  <c r="J34" i="18"/>
  <c r="J12" i="18"/>
  <c r="J24" i="18"/>
  <c r="P26" i="18"/>
  <c r="P37" i="18"/>
  <c r="J28" i="18"/>
  <c r="P36" i="18"/>
  <c r="P38" i="18"/>
  <c r="P27" i="18"/>
  <c r="J20" i="18"/>
  <c r="P30" i="18"/>
  <c r="P28" i="18"/>
  <c r="J18" i="18"/>
  <c r="J10" i="18"/>
  <c r="P34" i="18"/>
  <c r="P20" i="18"/>
  <c r="P13" i="18"/>
  <c r="P12" i="18"/>
  <c r="P24" i="18"/>
  <c r="M39" i="18" l="1"/>
  <c r="M29" i="18"/>
  <c r="M19" i="18"/>
  <c r="M9" i="18"/>
  <c r="L5" i="18"/>
  <c r="M41" i="18"/>
  <c r="M35" i="18"/>
  <c r="M25" i="18"/>
  <c r="M15" i="18"/>
  <c r="M31" i="18"/>
  <c r="M11" i="18"/>
  <c r="M45" i="18"/>
  <c r="M21" i="18"/>
  <c r="M22" i="18"/>
  <c r="M42" i="18"/>
  <c r="M32" i="18"/>
  <c r="M47" i="18"/>
  <c r="M16" i="18"/>
  <c r="M43" i="18"/>
  <c r="M17" i="18"/>
  <c r="M46" i="18"/>
  <c r="M40" i="18"/>
  <c r="M44" i="18"/>
  <c r="M14" i="18"/>
  <c r="M33" i="18"/>
  <c r="M37" i="18"/>
  <c r="M23" i="18"/>
  <c r="M27" i="18"/>
  <c r="M26" i="18"/>
  <c r="M36" i="18"/>
  <c r="M38" i="18"/>
  <c r="M30" i="18"/>
  <c r="M28" i="18"/>
  <c r="M13" i="18"/>
  <c r="M24" i="18"/>
  <c r="M20" i="18"/>
  <c r="M12" i="18"/>
  <c r="M34" i="18"/>
  <c r="M18" i="18"/>
  <c r="M10" i="18"/>
  <c r="M8" i="18"/>
  <c r="I15" i="38" l="1"/>
  <c r="I29" i="38"/>
  <c r="I10" i="38"/>
  <c r="I11" i="38"/>
  <c r="I25" i="38"/>
  <c r="I12" i="38"/>
  <c r="I18" i="38"/>
  <c r="I8" i="38"/>
  <c r="I22" i="38"/>
  <c r="J4" i="38"/>
  <c r="K8" i="38" l="1"/>
  <c r="K11" i="38"/>
  <c r="K12" i="38"/>
  <c r="K18" i="38"/>
  <c r="K22" i="38"/>
  <c r="K15" i="38"/>
  <c r="K10" i="38"/>
  <c r="K25" i="38"/>
  <c r="K29" i="38"/>
  <c r="C19" i="38"/>
  <c r="C17" i="38" s="1"/>
  <c r="C13" i="38" l="1"/>
  <c r="D13" i="38" s="1"/>
  <c r="D17" i="38"/>
  <c r="G9" i="38" l="1"/>
  <c r="J9" i="38" s="1"/>
  <c r="H7" i="38"/>
  <c r="H6" i="38" l="1"/>
  <c r="I6" i="38" s="1"/>
  <c r="I7" i="38"/>
  <c r="F7" i="38"/>
  <c r="K9" i="38"/>
  <c r="J7" i="38"/>
  <c r="I9" i="38"/>
  <c r="G7" i="38" l="1"/>
  <c r="K7" i="38"/>
  <c r="J6" i="38"/>
  <c r="H5" i="38"/>
  <c r="F5" i="38" s="1"/>
  <c r="F61" i="38" s="1"/>
  <c r="F6" i="38"/>
  <c r="F19" i="38" l="1"/>
  <c r="F16" i="38"/>
  <c r="H16" i="38" s="1"/>
  <c r="H14" i="38" s="1"/>
  <c r="F23" i="38"/>
  <c r="F26" i="38"/>
  <c r="F30" i="38"/>
  <c r="I5" i="38"/>
  <c r="G5" i="38"/>
  <c r="G6" i="38"/>
  <c r="K6" i="38"/>
  <c r="J5" i="38"/>
  <c r="K5" i="38" s="1"/>
  <c r="G51" i="38" l="1"/>
  <c r="J51" i="38" s="1"/>
  <c r="K51" i="38" s="1"/>
  <c r="H51" i="38"/>
  <c r="I51" i="38" s="1"/>
  <c r="G58" i="38"/>
  <c r="J58" i="38" s="1"/>
  <c r="K58" i="38" s="1"/>
  <c r="H58" i="38"/>
  <c r="I58" i="38" s="1"/>
  <c r="G54" i="38"/>
  <c r="J54" i="38" s="1"/>
  <c r="K54" i="38" s="1"/>
  <c r="H54" i="38"/>
  <c r="I54" i="38" s="1"/>
  <c r="G61" i="38"/>
  <c r="J61" i="38" s="1"/>
  <c r="K61" i="38" s="1"/>
  <c r="H61" i="38"/>
  <c r="I61" i="38" s="1"/>
  <c r="G65" i="38"/>
  <c r="J65" i="38" s="1"/>
  <c r="K65" i="38" s="1"/>
  <c r="H65" i="38"/>
  <c r="G30" i="38"/>
  <c r="J30" i="38" s="1"/>
  <c r="H30" i="38"/>
  <c r="G23" i="38"/>
  <c r="J23" i="38" s="1"/>
  <c r="H23" i="38"/>
  <c r="G16" i="38"/>
  <c r="J16" i="38" s="1"/>
  <c r="G26" i="38"/>
  <c r="J26" i="38" s="1"/>
  <c r="H26" i="38"/>
  <c r="G19" i="38"/>
  <c r="J19" i="38" s="1"/>
  <c r="H19" i="38"/>
  <c r="H63" i="38" l="1"/>
  <c r="I65" i="38"/>
  <c r="H59" i="38"/>
  <c r="I59" i="38" s="1"/>
  <c r="H56" i="38"/>
  <c r="I56" i="38" s="1"/>
  <c r="H52" i="38"/>
  <c r="I52" i="38" s="1"/>
  <c r="J56" i="38"/>
  <c r="K56" i="38" s="1"/>
  <c r="J59" i="38"/>
  <c r="K59" i="38" s="1"/>
  <c r="H49" i="38"/>
  <c r="I49" i="38" s="1"/>
  <c r="J52" i="38"/>
  <c r="K52" i="38" s="1"/>
  <c r="J63" i="38"/>
  <c r="J49" i="38"/>
  <c r="K49" i="38" s="1"/>
  <c r="H24" i="38"/>
  <c r="I26" i="38"/>
  <c r="H21" i="38"/>
  <c r="I23" i="38"/>
  <c r="I16" i="38"/>
  <c r="J21" i="38"/>
  <c r="K23" i="38"/>
  <c r="J14" i="38"/>
  <c r="K16" i="38"/>
  <c r="H17" i="38"/>
  <c r="H13" i="38" s="1"/>
  <c r="I19" i="38"/>
  <c r="H28" i="38"/>
  <c r="H27" i="38" s="1"/>
  <c r="I30" i="38"/>
  <c r="J24" i="38"/>
  <c r="K26" i="38"/>
  <c r="K19" i="38"/>
  <c r="J17" i="38"/>
  <c r="J28" i="38"/>
  <c r="K30" i="38"/>
  <c r="J62" i="38" l="1"/>
  <c r="K63" i="38"/>
  <c r="H62" i="38"/>
  <c r="I63" i="38"/>
  <c r="H48" i="38"/>
  <c r="I48" i="38" s="1"/>
  <c r="G52" i="38"/>
  <c r="G56" i="38"/>
  <c r="J55" i="38"/>
  <c r="K55" i="38" s="1"/>
  <c r="F52" i="38"/>
  <c r="F49" i="38"/>
  <c r="G49" i="38"/>
  <c r="J48" i="38"/>
  <c r="K48" i="38" s="1"/>
  <c r="F63" i="38"/>
  <c r="H55" i="38"/>
  <c r="I55" i="38" s="1"/>
  <c r="F56" i="38"/>
  <c r="G63" i="38"/>
  <c r="G59" i="38"/>
  <c r="F59" i="38"/>
  <c r="F14" i="38"/>
  <c r="I14" i="38"/>
  <c r="G24" i="38"/>
  <c r="K24" i="38"/>
  <c r="F28" i="38"/>
  <c r="I28" i="38"/>
  <c r="J27" i="38"/>
  <c r="G28" i="38"/>
  <c r="K28" i="38"/>
  <c r="F17" i="38"/>
  <c r="I17" i="38"/>
  <c r="H20" i="38"/>
  <c r="F21" i="38"/>
  <c r="I21" i="38"/>
  <c r="G21" i="38"/>
  <c r="J20" i="38"/>
  <c r="K21" i="38"/>
  <c r="G17" i="38"/>
  <c r="K17" i="38"/>
  <c r="G14" i="38"/>
  <c r="K14" i="38"/>
  <c r="J13" i="38"/>
  <c r="F24" i="38"/>
  <c r="I24" i="38"/>
  <c r="F62" i="38" l="1"/>
  <c r="I62" i="38"/>
  <c r="G62" i="38"/>
  <c r="K62" i="38"/>
  <c r="G48" i="38"/>
  <c r="G55" i="38"/>
  <c r="F55" i="38"/>
  <c r="F48" i="38"/>
  <c r="F27" i="38"/>
  <c r="I27" i="38"/>
  <c r="K13" i="38"/>
  <c r="G13" i="38"/>
  <c r="F20" i="38"/>
  <c r="I20" i="38"/>
  <c r="I13" i="38"/>
  <c r="F13" i="38"/>
  <c r="G20" i="38"/>
  <c r="K20" i="38"/>
  <c r="G27" i="38"/>
  <c r="K27" i="38"/>
  <c r="G24" i="43" l="1"/>
  <c r="G31" i="43"/>
  <c r="G35" i="43"/>
  <c r="G28" i="43"/>
  <c r="C28" i="43" l="1"/>
  <c r="C31" i="43"/>
  <c r="M31" i="43" s="1"/>
  <c r="C21" i="43"/>
  <c r="M21" i="43" s="1"/>
  <c r="C24" i="43"/>
  <c r="M24" i="43" s="1"/>
  <c r="C35" i="43"/>
  <c r="M35" i="43" s="1"/>
  <c r="C27" i="43"/>
  <c r="C34" i="43"/>
  <c r="C23" i="43"/>
  <c r="C20" i="43"/>
  <c r="C14" i="43"/>
  <c r="C16" i="43"/>
  <c r="M16" i="43" s="1"/>
  <c r="C17" i="43"/>
  <c r="M17" i="43" s="1"/>
  <c r="C30" i="43"/>
  <c r="C13" i="43"/>
  <c r="C29" i="43" l="1"/>
  <c r="D29" i="43" s="1"/>
  <c r="H34" i="43"/>
  <c r="K34" i="43" s="1"/>
  <c r="M34" i="43"/>
  <c r="H20" i="43"/>
  <c r="K20" i="43" s="1"/>
  <c r="M20" i="43"/>
  <c r="H24" i="43"/>
  <c r="K24" i="43" s="1"/>
  <c r="C12" i="43"/>
  <c r="D12" i="43" s="1"/>
  <c r="H31" i="43"/>
  <c r="K31" i="43" s="1"/>
  <c r="C22" i="43"/>
  <c r="D22" i="43" s="1"/>
  <c r="M23" i="43"/>
  <c r="H28" i="43"/>
  <c r="K28" i="43" s="1"/>
  <c r="M28" i="43"/>
  <c r="H21" i="43"/>
  <c r="E9" i="43" s="1"/>
  <c r="H30" i="43"/>
  <c r="K30" i="43" s="1"/>
  <c r="M30" i="43"/>
  <c r="H27" i="43"/>
  <c r="K27" i="43" s="1"/>
  <c r="M27" i="43"/>
  <c r="M15" i="43"/>
  <c r="H35" i="43"/>
  <c r="K35" i="43" s="1"/>
  <c r="C33" i="43"/>
  <c r="H17" i="43"/>
  <c r="K17" i="43" s="1"/>
  <c r="C19" i="43"/>
  <c r="H23" i="43"/>
  <c r="K23" i="43" s="1"/>
  <c r="C26" i="43"/>
  <c r="C15" i="43"/>
  <c r="E12" i="43" l="1"/>
  <c r="E14" i="43" s="1"/>
  <c r="H19" i="43"/>
  <c r="K19" i="43" s="1"/>
  <c r="H33" i="43"/>
  <c r="K33" i="43" s="1"/>
  <c r="C11" i="43"/>
  <c r="C10" i="43" s="1"/>
  <c r="H26" i="43"/>
  <c r="K26" i="43" s="1"/>
  <c r="H29" i="43"/>
  <c r="K29" i="43" s="1"/>
  <c r="M22" i="43"/>
  <c r="M19" i="43"/>
  <c r="M26" i="43"/>
  <c r="M33" i="43"/>
  <c r="K21" i="43"/>
  <c r="M29" i="43"/>
  <c r="H16" i="43"/>
  <c r="K16" i="43" s="1"/>
  <c r="H22" i="43"/>
  <c r="K22" i="43" s="1"/>
  <c r="D15" i="43"/>
  <c r="C25" i="43"/>
  <c r="D26" i="43"/>
  <c r="C18" i="43"/>
  <c r="D19" i="43"/>
  <c r="D33" i="43"/>
  <c r="C32" i="43"/>
  <c r="F19" i="43" l="1"/>
  <c r="G19" i="43" s="1"/>
  <c r="E11" i="43"/>
  <c r="H14" i="43"/>
  <c r="F29" i="43"/>
  <c r="G29" i="43" s="1"/>
  <c r="H32" i="43"/>
  <c r="K32" i="43" s="1"/>
  <c r="F33" i="43"/>
  <c r="G33" i="43" s="1"/>
  <c r="F26" i="43"/>
  <c r="G26" i="43" s="1"/>
  <c r="H25" i="43"/>
  <c r="K25" i="43" s="1"/>
  <c r="D11" i="43"/>
  <c r="M18" i="43"/>
  <c r="H13" i="43"/>
  <c r="M25" i="43"/>
  <c r="M32" i="43"/>
  <c r="H15" i="43"/>
  <c r="K15" i="43" s="1"/>
  <c r="F22" i="43"/>
  <c r="G22" i="43" s="1"/>
  <c r="D18" i="43"/>
  <c r="H18" i="43"/>
  <c r="K18" i="43" s="1"/>
  <c r="D32" i="43"/>
  <c r="D25" i="43"/>
  <c r="F32" i="43" l="1"/>
  <c r="G32" i="43" s="1"/>
  <c r="F25" i="43"/>
  <c r="G25" i="43" s="1"/>
  <c r="E10" i="43"/>
  <c r="H10" i="43" s="1"/>
  <c r="M14" i="43"/>
  <c r="H12" i="43"/>
  <c r="H11" i="43" s="1"/>
  <c r="M13" i="43"/>
  <c r="F15" i="43"/>
  <c r="G15" i="43" s="1"/>
  <c r="F18" i="43"/>
  <c r="G18" i="43" s="1"/>
  <c r="H9" i="43" l="1"/>
  <c r="M10" i="43"/>
  <c r="K14" i="43"/>
  <c r="M12" i="43"/>
  <c r="K13" i="43"/>
  <c r="L5" i="43" l="1"/>
  <c r="I10" i="43"/>
  <c r="M11" i="43"/>
  <c r="K12" i="43"/>
  <c r="F12" i="43"/>
  <c r="G12" i="43" s="1"/>
  <c r="J10" i="43" l="1"/>
  <c r="M9" i="43"/>
  <c r="F11" i="43"/>
  <c r="G11" i="43" s="1"/>
  <c r="K11" i="43"/>
  <c r="J9" i="43" l="1"/>
  <c r="J8" i="43" s="1"/>
  <c r="K10" i="43"/>
  <c r="I11" i="43"/>
  <c r="K9" i="43"/>
  <c r="F9" i="43"/>
  <c r="G9" i="43" s="1"/>
  <c r="I18" i="43"/>
  <c r="I34" i="43"/>
  <c r="I16" i="43"/>
  <c r="I30" i="43"/>
  <c r="I17" i="43"/>
  <c r="I27" i="43"/>
  <c r="I19" i="43"/>
  <c r="I29" i="43"/>
  <c r="I22" i="43"/>
  <c r="I15" i="43"/>
  <c r="I31" i="43"/>
  <c r="I21" i="43"/>
  <c r="I13" i="43"/>
  <c r="I28" i="43"/>
  <c r="I14" i="43"/>
  <c r="I33" i="43"/>
  <c r="I25" i="43"/>
  <c r="I24" i="43"/>
  <c r="I32" i="43"/>
  <c r="I26" i="43"/>
  <c r="I35" i="43"/>
  <c r="I23" i="43"/>
  <c r="I20" i="43"/>
  <c r="I12" i="43"/>
  <c r="N17" i="43"/>
  <c r="N16" i="43"/>
  <c r="N31" i="43"/>
  <c r="N21" i="43"/>
  <c r="N35" i="43"/>
  <c r="N24" i="43"/>
  <c r="N15" i="43"/>
  <c r="N30" i="43"/>
  <c r="N27" i="43"/>
  <c r="N34" i="43"/>
  <c r="N23" i="43"/>
  <c r="N28" i="43"/>
  <c r="N20" i="43"/>
  <c r="N29" i="43"/>
  <c r="N19" i="43"/>
  <c r="N33" i="43"/>
  <c r="N26" i="43"/>
  <c r="N22" i="43"/>
  <c r="N10" i="43"/>
  <c r="N32" i="43"/>
  <c r="N25" i="43"/>
  <c r="N18" i="43"/>
  <c r="N14" i="43"/>
  <c r="N13" i="43"/>
  <c r="N12" i="43"/>
  <c r="N11" i="43"/>
  <c r="L19" i="43" l="1"/>
  <c r="L33" i="43"/>
  <c r="L26" i="43"/>
  <c r="L20" i="43"/>
  <c r="L23" i="43"/>
  <c r="L28" i="43"/>
  <c r="L24" i="43"/>
  <c r="L35" i="43"/>
  <c r="L29" i="43"/>
  <c r="L27" i="43"/>
  <c r="L34" i="43"/>
  <c r="L30" i="43"/>
  <c r="L31" i="43"/>
  <c r="L17" i="43"/>
  <c r="L32" i="43"/>
  <c r="L22" i="43"/>
  <c r="L16" i="43"/>
  <c r="L21" i="43"/>
  <c r="L25" i="43"/>
  <c r="L18" i="43"/>
  <c r="L15" i="43"/>
  <c r="L14" i="43"/>
  <c r="L13" i="43"/>
  <c r="L10" i="43"/>
  <c r="L12" i="43"/>
  <c r="L11" i="43"/>
  <c r="K31" i="45" l="1"/>
  <c r="K26" i="45"/>
  <c r="K12" i="45"/>
  <c r="K25" i="45"/>
  <c r="K27" i="45"/>
  <c r="K15" i="45"/>
  <c r="K13" i="45"/>
  <c r="K23" i="45"/>
  <c r="K14" i="45"/>
  <c r="K32" i="45"/>
  <c r="K29" i="45"/>
  <c r="K18" i="45" l="1"/>
  <c r="K24" i="45"/>
  <c r="K21" i="45"/>
  <c r="K19" i="45"/>
  <c r="K35" i="45"/>
  <c r="T28" i="45"/>
  <c r="F10" i="45"/>
  <c r="G10" i="45" s="1"/>
  <c r="K30" i="45"/>
  <c r="K22" i="45"/>
  <c r="K16" i="45"/>
  <c r="K36" i="45"/>
  <c r="K17" i="45"/>
  <c r="K34" i="45"/>
  <c r="K28" i="45"/>
  <c r="K20" i="45"/>
  <c r="K33" i="45"/>
  <c r="I16" i="45"/>
  <c r="I33" i="45"/>
  <c r="I13" i="45"/>
  <c r="I29" i="45"/>
  <c r="I31" i="45"/>
  <c r="I28" i="45"/>
  <c r="I12" i="45"/>
  <c r="I30" i="45"/>
  <c r="I15" i="45"/>
  <c r="I22" i="45"/>
  <c r="I23" i="45"/>
  <c r="I35" i="45"/>
  <c r="I26" i="45"/>
  <c r="I21" i="45"/>
  <c r="I34" i="45"/>
  <c r="I19" i="45"/>
  <c r="I14" i="45"/>
  <c r="I32" i="45"/>
  <c r="I25" i="45"/>
  <c r="I17" i="45"/>
  <c r="I20" i="45"/>
  <c r="I24" i="45"/>
  <c r="I18" i="45"/>
  <c r="I27" i="45"/>
  <c r="I36" i="45"/>
  <c r="T32" i="45" l="1"/>
  <c r="T33" i="45"/>
  <c r="T17" i="45"/>
  <c r="T35" i="45"/>
  <c r="T15" i="45"/>
  <c r="T14" i="45"/>
  <c r="T16" i="45"/>
  <c r="T18" i="45"/>
  <c r="T19" i="45"/>
  <c r="T13" i="45"/>
  <c r="T22" i="45"/>
  <c r="T24" i="45"/>
  <c r="T21" i="45"/>
  <c r="T23" i="45"/>
  <c r="T25" i="45"/>
  <c r="T27" i="45"/>
  <c r="T29" i="45"/>
  <c r="T31" i="45"/>
  <c r="T20" i="45"/>
  <c r="T34" i="45"/>
  <c r="T30" i="45"/>
  <c r="T26" i="45"/>
  <c r="L13" i="47" l="1"/>
  <c r="J13" i="47"/>
  <c r="H13" i="47" s="1"/>
  <c r="I13" i="47" l="1"/>
  <c r="L12" i="47"/>
  <c r="J12" i="47"/>
  <c r="H12" i="47" l="1"/>
  <c r="K12" i="47"/>
  <c r="I12" i="47"/>
  <c r="L10" i="47"/>
  <c r="M28" i="47" s="1"/>
  <c r="C10" i="63" l="1"/>
  <c r="K11" i="47"/>
  <c r="B11" i="63" s="1"/>
  <c r="D11" i="63" s="1"/>
  <c r="M21" i="47"/>
  <c r="M11" i="47"/>
  <c r="M32" i="47"/>
  <c r="M27" i="47"/>
  <c r="M35" i="47"/>
  <c r="M12" i="47"/>
  <c r="M14" i="47"/>
  <c r="M15" i="47"/>
  <c r="M16" i="47"/>
  <c r="M20" i="47"/>
  <c r="M34" i="47"/>
  <c r="M31" i="47"/>
  <c r="M22" i="47"/>
  <c r="M29" i="47"/>
  <c r="M30" i="47"/>
  <c r="M25" i="47"/>
  <c r="M26" i="47"/>
  <c r="M19" i="47"/>
  <c r="M24" i="47"/>
  <c r="M13" i="47"/>
  <c r="I10" i="47"/>
  <c r="M23" i="47"/>
  <c r="M36" i="47"/>
  <c r="M18" i="47"/>
  <c r="M33" i="47"/>
  <c r="M17" i="47"/>
  <c r="K19" i="47"/>
  <c r="B19" i="63" s="1"/>
  <c r="D19" i="63" s="1"/>
  <c r="K34" i="47"/>
  <c r="B34" i="63" s="1"/>
  <c r="D34" i="63" s="1"/>
  <c r="K20" i="47"/>
  <c r="B20" i="63" s="1"/>
  <c r="D20" i="63" s="1"/>
  <c r="K23" i="47"/>
  <c r="B23" i="63" s="1"/>
  <c r="D23" i="63" s="1"/>
  <c r="K36" i="47"/>
  <c r="B36" i="63" s="1"/>
  <c r="D36" i="63" s="1"/>
  <c r="C36" i="63" s="1"/>
  <c r="K28" i="47"/>
  <c r="B28" i="63" s="1"/>
  <c r="D28" i="63" s="1"/>
  <c r="K33" i="47"/>
  <c r="B33" i="63" s="1"/>
  <c r="D33" i="63" s="1"/>
  <c r="K27" i="47"/>
  <c r="B27" i="63" s="1"/>
  <c r="D27" i="63" s="1"/>
  <c r="K22" i="47"/>
  <c r="B22" i="63" s="1"/>
  <c r="D22" i="63" s="1"/>
  <c r="K17" i="47"/>
  <c r="B17" i="63" s="1"/>
  <c r="D17" i="63" s="1"/>
  <c r="K29" i="47"/>
  <c r="B29" i="63" s="1"/>
  <c r="D29" i="63" s="1"/>
  <c r="K24" i="47"/>
  <c r="B24" i="63" s="1"/>
  <c r="D24" i="63" s="1"/>
  <c r="K30" i="47"/>
  <c r="B30" i="63" s="1"/>
  <c r="D30" i="63" s="1"/>
  <c r="K16" i="47"/>
  <c r="B16" i="63" s="1"/>
  <c r="D16" i="63" s="1"/>
  <c r="K35" i="47"/>
  <c r="B35" i="63" s="1"/>
  <c r="D35" i="63" s="1"/>
  <c r="K31" i="47"/>
  <c r="B31" i="63" s="1"/>
  <c r="D31" i="63" s="1"/>
  <c r="K18" i="47"/>
  <c r="B18" i="63" s="1"/>
  <c r="D18" i="63" s="1"/>
  <c r="K32" i="47"/>
  <c r="B32" i="63" s="1"/>
  <c r="D32" i="63" s="1"/>
  <c r="K26" i="47"/>
  <c r="B26" i="63" s="1"/>
  <c r="D26" i="63" s="1"/>
  <c r="K25" i="47"/>
  <c r="B25" i="63" s="1"/>
  <c r="D25" i="63" s="1"/>
  <c r="K21" i="47"/>
  <c r="B21" i="63" s="1"/>
  <c r="D21" i="63" s="1"/>
  <c r="K14" i="47"/>
  <c r="B14" i="63" s="1"/>
  <c r="D14" i="63" s="1"/>
  <c r="K15" i="47"/>
  <c r="B15" i="63" s="1"/>
  <c r="D15" i="63" s="1"/>
  <c r="K13" i="47"/>
  <c r="B13" i="63" s="1"/>
  <c r="D13" i="63" s="1"/>
  <c r="B12" i="63"/>
  <c r="D12" i="63" s="1"/>
  <c r="D4" i="63" s="1"/>
  <c r="I10" i="63" l="1"/>
  <c r="I13" i="63" s="1"/>
  <c r="G10" i="63"/>
  <c r="G13" i="63" s="1"/>
  <c r="E10" i="63"/>
  <c r="E13" i="63" s="1"/>
  <c r="B20" i="57"/>
  <c r="C22" i="57"/>
  <c r="E12" i="63" l="1"/>
  <c r="E11" i="63" s="1"/>
  <c r="E15" i="63"/>
  <c r="G12" i="63"/>
  <c r="G11" i="63" s="1"/>
  <c r="G15" i="63"/>
  <c r="I15" i="63"/>
  <c r="I12" i="63"/>
  <c r="I11" i="63" s="1"/>
  <c r="B23" i="57"/>
  <c r="B21" i="57"/>
  <c r="B25" i="57"/>
  <c r="D25" i="57" s="1"/>
  <c r="C25" i="57" s="1"/>
  <c r="B24" i="57"/>
  <c r="B14" i="57" s="1"/>
  <c r="D14" i="57" s="1"/>
  <c r="D21" i="57"/>
  <c r="C21" i="57" s="1"/>
  <c r="H22" i="57"/>
  <c r="Q15" i="63" l="1"/>
  <c r="Q11" i="63"/>
  <c r="L22" i="57"/>
  <c r="N22" i="57"/>
  <c r="C14" i="57"/>
  <c r="D24" i="57"/>
  <c r="C24" i="57" s="1"/>
  <c r="H24" i="57" s="1"/>
  <c r="H25" i="57"/>
  <c r="C20" i="57"/>
  <c r="H21" i="57"/>
  <c r="Q13" i="63" l="1"/>
  <c r="R22" i="57"/>
  <c r="T22" i="57"/>
  <c r="N24" i="57"/>
  <c r="L24" i="57"/>
  <c r="L25" i="57"/>
  <c r="N25" i="57"/>
  <c r="B15" i="57"/>
  <c r="D15" i="57" s="1"/>
  <c r="C15" i="57" s="1"/>
  <c r="H15" i="57" s="1"/>
  <c r="C23" i="57"/>
  <c r="D23" i="57" s="1"/>
  <c r="H20" i="57"/>
  <c r="L21" i="57"/>
  <c r="L20" i="57" s="1"/>
  <c r="N21" i="57"/>
  <c r="D20" i="57"/>
  <c r="H23" i="57"/>
  <c r="Q12" i="63" l="1"/>
  <c r="J20" i="57"/>
  <c r="N15" i="57"/>
  <c r="T15" i="57" s="1"/>
  <c r="L23" i="57"/>
  <c r="J23" i="57" s="1"/>
  <c r="K23" i="57" s="1"/>
  <c r="Y22" i="57"/>
  <c r="AA22" i="57"/>
  <c r="R25" i="57"/>
  <c r="T25" i="57"/>
  <c r="N20" i="57"/>
  <c r="T21" i="57"/>
  <c r="R21" i="57"/>
  <c r="R20" i="57" s="1"/>
  <c r="R24" i="57"/>
  <c r="T24" i="57"/>
  <c r="L15" i="57"/>
  <c r="H19" i="57"/>
  <c r="C19" i="57"/>
  <c r="D19" i="57" s="1"/>
  <c r="N23" i="57"/>
  <c r="K20" i="57"/>
  <c r="Q10" i="63" l="1"/>
  <c r="Y15" i="57"/>
  <c r="R15" i="57"/>
  <c r="L19" i="57"/>
  <c r="B11" i="57" s="1"/>
  <c r="AG22" i="57"/>
  <c r="AE22" i="57"/>
  <c r="N19" i="57"/>
  <c r="Y21" i="57"/>
  <c r="Y20" i="57" s="1"/>
  <c r="AA21" i="57"/>
  <c r="AA20" i="57" s="1"/>
  <c r="Y24" i="57"/>
  <c r="AA24" i="57"/>
  <c r="Y25" i="57"/>
  <c r="AA25" i="57"/>
  <c r="J19" i="57"/>
  <c r="K19" i="57" s="1"/>
  <c r="T23" i="57"/>
  <c r="P20" i="57"/>
  <c r="R23" i="57"/>
  <c r="T20" i="57"/>
  <c r="H14" i="57"/>
  <c r="R99" i="63" l="1"/>
  <c r="R136" i="63"/>
  <c r="R123" i="63"/>
  <c r="R134" i="63"/>
  <c r="R126" i="63"/>
  <c r="R122" i="63"/>
  <c r="R94" i="63"/>
  <c r="R84" i="63"/>
  <c r="R87" i="63"/>
  <c r="R141" i="63"/>
  <c r="R95" i="63"/>
  <c r="R130" i="63"/>
  <c r="R106" i="63"/>
  <c r="R91" i="63"/>
  <c r="R125" i="63"/>
  <c r="R98" i="63"/>
  <c r="R135" i="63"/>
  <c r="R102" i="63"/>
  <c r="R101" i="63"/>
  <c r="R133" i="63"/>
  <c r="R121" i="63"/>
  <c r="R105" i="63"/>
  <c r="R92" i="63"/>
  <c r="R86" i="63"/>
  <c r="R132" i="63"/>
  <c r="R93" i="63"/>
  <c r="R103" i="63"/>
  <c r="R88" i="63"/>
  <c r="R128" i="63"/>
  <c r="R127" i="63"/>
  <c r="R119" i="63"/>
  <c r="R137" i="63"/>
  <c r="R129" i="63"/>
  <c r="R104" i="63"/>
  <c r="R140" i="63"/>
  <c r="R90" i="63"/>
  <c r="R100" i="63"/>
  <c r="R97" i="63"/>
  <c r="R131" i="63"/>
  <c r="R139" i="63"/>
  <c r="R124" i="63"/>
  <c r="R138" i="63"/>
  <c r="R96" i="63"/>
  <c r="R81" i="63"/>
  <c r="R89" i="63"/>
  <c r="R116" i="63"/>
  <c r="R85" i="63"/>
  <c r="R120" i="63"/>
  <c r="R118" i="63"/>
  <c r="R83" i="63"/>
  <c r="R60" i="63"/>
  <c r="R69" i="63"/>
  <c r="R36" i="63"/>
  <c r="R67" i="63"/>
  <c r="R61" i="63"/>
  <c r="R46" i="63"/>
  <c r="R49" i="63"/>
  <c r="R26" i="63"/>
  <c r="R57" i="63"/>
  <c r="R23" i="63"/>
  <c r="R27" i="63"/>
  <c r="R82" i="63"/>
  <c r="R52" i="63"/>
  <c r="R21" i="63"/>
  <c r="R17" i="63"/>
  <c r="R59" i="63"/>
  <c r="R55" i="63"/>
  <c r="R65" i="63"/>
  <c r="R34" i="63"/>
  <c r="R117" i="63"/>
  <c r="R14" i="63"/>
  <c r="R62" i="63"/>
  <c r="R71" i="63"/>
  <c r="R25" i="63"/>
  <c r="R50" i="63"/>
  <c r="R31" i="63"/>
  <c r="R35" i="63"/>
  <c r="R32" i="63"/>
  <c r="R47" i="63"/>
  <c r="R18" i="63"/>
  <c r="R33" i="63"/>
  <c r="R28" i="63"/>
  <c r="R51" i="63"/>
  <c r="R20" i="63"/>
  <c r="R24" i="63"/>
  <c r="R70" i="63"/>
  <c r="R19" i="63"/>
  <c r="R63" i="63"/>
  <c r="R68" i="63"/>
  <c r="R29" i="63"/>
  <c r="R66" i="63"/>
  <c r="R48" i="63"/>
  <c r="R16" i="63"/>
  <c r="R64" i="63"/>
  <c r="R54" i="63"/>
  <c r="R22" i="63"/>
  <c r="R56" i="63"/>
  <c r="R53" i="63"/>
  <c r="R58" i="63"/>
  <c r="R30" i="63"/>
  <c r="R15" i="63"/>
  <c r="R11" i="63"/>
  <c r="R13" i="63"/>
  <c r="R12" i="63"/>
  <c r="W20" i="57"/>
  <c r="N14" i="57"/>
  <c r="R14" i="57" s="1"/>
  <c r="AG24" i="57"/>
  <c r="AE24" i="57"/>
  <c r="AE21" i="57"/>
  <c r="AG21" i="57"/>
  <c r="AE25" i="57"/>
  <c r="AG25" i="57"/>
  <c r="AA23" i="57"/>
  <c r="AA19" i="57" s="1"/>
  <c r="Y23" i="57"/>
  <c r="W23" i="57" s="1"/>
  <c r="P23" i="57"/>
  <c r="T19" i="57"/>
  <c r="R19" i="57"/>
  <c r="H13" i="57"/>
  <c r="H12" i="57" s="1"/>
  <c r="L14" i="57"/>
  <c r="L13" i="57" s="1"/>
  <c r="C13" i="57"/>
  <c r="D13" i="57" l="1"/>
  <c r="C12" i="57"/>
  <c r="D12" i="57" s="1"/>
  <c r="N13" i="57"/>
  <c r="T14" i="57"/>
  <c r="J13" i="57"/>
  <c r="Y19" i="57"/>
  <c r="W19" i="57" s="1"/>
  <c r="R13" i="57"/>
  <c r="P19" i="57"/>
  <c r="L12" i="57"/>
  <c r="J12" i="57" s="1"/>
  <c r="Y14" i="57" l="1"/>
  <c r="Y13" i="57" s="1"/>
  <c r="T13" i="57"/>
  <c r="T12" i="57" s="1"/>
  <c r="P13" i="57"/>
  <c r="R12" i="57"/>
  <c r="C11" i="57"/>
  <c r="H11" i="57" s="1"/>
  <c r="W13" i="57" l="1"/>
  <c r="Y12" i="57"/>
  <c r="W12" i="57" s="1"/>
  <c r="H10" i="57"/>
  <c r="N11" i="57" l="1"/>
  <c r="I12" i="57"/>
  <c r="L11" i="57"/>
  <c r="R11" i="57" l="1"/>
  <c r="R10" i="57" s="1"/>
  <c r="T11" i="57"/>
  <c r="I31" i="57"/>
  <c r="I17" i="57"/>
  <c r="I28" i="57"/>
  <c r="I35" i="57"/>
  <c r="I32" i="57"/>
  <c r="I36" i="57"/>
  <c r="I18" i="57"/>
  <c r="I29" i="57"/>
  <c r="I27" i="57"/>
  <c r="I30" i="57"/>
  <c r="I34" i="57"/>
  <c r="I16" i="57"/>
  <c r="I33" i="57"/>
  <c r="I26" i="57"/>
  <c r="I22" i="57"/>
  <c r="I21" i="57"/>
  <c r="I25" i="57"/>
  <c r="I24" i="57"/>
  <c r="I20" i="57"/>
  <c r="I15" i="57"/>
  <c r="I23" i="57"/>
  <c r="I19" i="57"/>
  <c r="I14" i="57"/>
  <c r="I13" i="57"/>
  <c r="I11" i="57"/>
  <c r="L10" i="57"/>
  <c r="T10" i="57" l="1"/>
  <c r="U11" i="57" s="1"/>
  <c r="Y11" i="57"/>
  <c r="Y10" i="57" s="1"/>
  <c r="M11" i="57"/>
  <c r="J10" i="57"/>
  <c r="U19" i="57"/>
  <c r="X19" i="57" s="1"/>
  <c r="S27" i="57"/>
  <c r="S29" i="57"/>
  <c r="S28" i="57"/>
  <c r="S17" i="57"/>
  <c r="S31" i="57"/>
  <c r="S36" i="57"/>
  <c r="S34" i="57"/>
  <c r="S32" i="57"/>
  <c r="S35" i="57"/>
  <c r="S18" i="57"/>
  <c r="S16" i="57"/>
  <c r="S33" i="57"/>
  <c r="S30" i="57"/>
  <c r="S26" i="57"/>
  <c r="S22" i="57"/>
  <c r="S20" i="57"/>
  <c r="S24" i="57"/>
  <c r="S15" i="57"/>
  <c r="S25" i="57"/>
  <c r="S21" i="57"/>
  <c r="S23" i="57"/>
  <c r="S19" i="57"/>
  <c r="S14" i="57"/>
  <c r="S13" i="57"/>
  <c r="S12" i="57"/>
  <c r="S11" i="57"/>
  <c r="M13" i="57"/>
  <c r="M16" i="57"/>
  <c r="Q16" i="57" s="1"/>
  <c r="M14" i="57"/>
  <c r="M34" i="57"/>
  <c r="Q34" i="57" s="1"/>
  <c r="M19" i="57"/>
  <c r="Q19" i="57" s="1"/>
  <c r="M35" i="57"/>
  <c r="M29" i="57"/>
  <c r="M33" i="57"/>
  <c r="Q33" i="57" s="1"/>
  <c r="M24" i="57"/>
  <c r="M36" i="57"/>
  <c r="M22" i="57"/>
  <c r="M21" i="57"/>
  <c r="M17" i="57"/>
  <c r="M28" i="57"/>
  <c r="M18" i="57"/>
  <c r="M15" i="57"/>
  <c r="M32" i="57"/>
  <c r="M20" i="57"/>
  <c r="Q20" i="57" s="1"/>
  <c r="M25" i="57"/>
  <c r="M23" i="57"/>
  <c r="Q23" i="57" s="1"/>
  <c r="M30" i="57"/>
  <c r="Q30" i="57" s="1"/>
  <c r="M27" i="57"/>
  <c r="Q27" i="57" s="1"/>
  <c r="M12" i="57"/>
  <c r="M26" i="57"/>
  <c r="Q26" i="57" s="1"/>
  <c r="M31" i="57"/>
  <c r="Q13" i="57"/>
  <c r="K13" i="57"/>
  <c r="N12" i="57"/>
  <c r="P12" i="57" s="1"/>
  <c r="U20" i="57" l="1"/>
  <c r="X20" i="57" s="1"/>
  <c r="U16" i="57"/>
  <c r="X16" i="57" s="1"/>
  <c r="U28" i="57"/>
  <c r="U24" i="57"/>
  <c r="U26" i="57"/>
  <c r="X26" i="57" s="1"/>
  <c r="U31" i="57"/>
  <c r="U33" i="57"/>
  <c r="X33" i="57" s="1"/>
  <c r="U32" i="57"/>
  <c r="U17" i="57"/>
  <c r="U12" i="57"/>
  <c r="U25" i="57"/>
  <c r="U27" i="57"/>
  <c r="X27" i="57" s="1"/>
  <c r="U18" i="57"/>
  <c r="U30" i="57"/>
  <c r="X30" i="57" s="1"/>
  <c r="U34" i="57"/>
  <c r="X34" i="57" s="1"/>
  <c r="U13" i="57"/>
  <c r="U15" i="57"/>
  <c r="U35" i="57"/>
  <c r="U23" i="57"/>
  <c r="X23" i="57" s="1"/>
  <c r="U21" i="57"/>
  <c r="U14" i="57"/>
  <c r="U22" i="57"/>
  <c r="U36" i="57"/>
  <c r="W10" i="57"/>
  <c r="U29" i="57"/>
  <c r="N10" i="57"/>
  <c r="Q12" i="57"/>
  <c r="K10" i="57"/>
  <c r="K12" i="57"/>
  <c r="O12" i="57" l="1"/>
  <c r="P10" i="57"/>
  <c r="AG23" i="57"/>
  <c r="AG34" i="57"/>
  <c r="AE34" i="57"/>
  <c r="AC34" i="57" s="1"/>
  <c r="AE23" i="57"/>
  <c r="AC23" i="57" s="1"/>
  <c r="AE30" i="57"/>
  <c r="AC30" i="57" s="1"/>
  <c r="AG20" i="57"/>
  <c r="AE27" i="57"/>
  <c r="AC27" i="57" s="1"/>
  <c r="AE20" i="57"/>
  <c r="AC20" i="57" s="1"/>
  <c r="AG27" i="57"/>
  <c r="AE16" i="57"/>
  <c r="AC16" i="57" s="1"/>
  <c r="AG30" i="57"/>
  <c r="AG16" i="57"/>
  <c r="O31" i="57"/>
  <c r="O29" i="57"/>
  <c r="O17" i="57"/>
  <c r="O28" i="57"/>
  <c r="O30" i="57"/>
  <c r="O36" i="57"/>
  <c r="O35" i="57"/>
  <c r="O16" i="57"/>
  <c r="O27" i="57"/>
  <c r="O32" i="57"/>
  <c r="O18" i="57"/>
  <c r="O34" i="57"/>
  <c r="O26" i="57"/>
  <c r="O33" i="57"/>
  <c r="O22" i="57"/>
  <c r="O25" i="57"/>
  <c r="O15" i="57"/>
  <c r="O21" i="57"/>
  <c r="O24" i="57"/>
  <c r="O20" i="57"/>
  <c r="O19" i="57"/>
  <c r="O23" i="57"/>
  <c r="O14" i="57"/>
  <c r="O13" i="57"/>
  <c r="O11" i="57"/>
  <c r="Q10" i="57"/>
  <c r="AD16" i="57" l="1"/>
  <c r="AE19" i="57"/>
  <c r="AC19" i="57" s="1"/>
  <c r="AD20" i="57"/>
  <c r="AD34" i="57"/>
  <c r="AE33" i="57"/>
  <c r="AC33" i="57" s="1"/>
  <c r="AD30" i="57"/>
  <c r="AE26" i="57"/>
  <c r="AC26" i="57" s="1"/>
  <c r="AD27" i="57"/>
  <c r="AG33" i="57"/>
  <c r="AD23" i="57"/>
  <c r="AG26" i="57"/>
  <c r="AG19" i="57"/>
  <c r="AD33" i="57" l="1"/>
  <c r="AD19" i="57"/>
  <c r="AD26" i="57"/>
  <c r="AA14" i="57"/>
  <c r="AE15" i="57" l="1"/>
  <c r="AG15" i="57"/>
  <c r="AA11" i="57"/>
  <c r="AA15" i="57"/>
  <c r="AG11" i="57" l="1"/>
  <c r="AE11" i="57"/>
  <c r="AG14" i="57"/>
  <c r="AE14" i="57"/>
  <c r="AA13" i="57"/>
  <c r="X13" i="57" l="1"/>
  <c r="AA12" i="57"/>
  <c r="AE13" i="57"/>
  <c r="AC13" i="57" s="1"/>
  <c r="AG13" i="57"/>
  <c r="X12" i="57" l="1"/>
  <c r="AA10" i="57"/>
  <c r="AB12" i="57" s="1"/>
  <c r="AD13" i="57"/>
  <c r="AE12" i="57"/>
  <c r="AG12" i="57"/>
  <c r="AC12" i="57" l="1"/>
  <c r="AD12" i="57" s="1"/>
  <c r="AE10" i="57"/>
  <c r="AB17" i="57"/>
  <c r="AB27" i="57"/>
  <c r="AB33" i="57"/>
  <c r="AB21" i="57"/>
  <c r="AB28" i="57"/>
  <c r="AB35" i="57"/>
  <c r="AB32" i="57"/>
  <c r="AB18" i="57"/>
  <c r="AB31" i="57"/>
  <c r="AB26" i="57"/>
  <c r="AB25" i="57"/>
  <c r="AB22" i="57"/>
  <c r="AB16" i="57"/>
  <c r="AB30" i="57"/>
  <c r="AB36" i="57"/>
  <c r="AB20" i="57"/>
  <c r="AB29" i="57"/>
  <c r="AB23" i="57"/>
  <c r="AB34" i="57"/>
  <c r="AB24" i="57"/>
  <c r="AB19" i="57"/>
  <c r="AB14" i="57"/>
  <c r="AB15" i="57"/>
  <c r="AB11" i="57"/>
  <c r="AB13" i="57"/>
  <c r="Z29" i="57"/>
  <c r="Z18" i="57"/>
  <c r="Z23" i="57"/>
  <c r="Z27" i="57"/>
  <c r="Z25" i="57"/>
  <c r="X10" i="57"/>
  <c r="Z21" i="57"/>
  <c r="Z33" i="57"/>
  <c r="Z16" i="57"/>
  <c r="Z28" i="57"/>
  <c r="Z17" i="57"/>
  <c r="Z20" i="57"/>
  <c r="Z30" i="57"/>
  <c r="Z31" i="57"/>
  <c r="Z24" i="57"/>
  <c r="Z35" i="57"/>
  <c r="Z22" i="57"/>
  <c r="Z36" i="57"/>
  <c r="Z19" i="57"/>
  <c r="Z34" i="57"/>
  <c r="Z32" i="57"/>
  <c r="Z26" i="57"/>
  <c r="Z15" i="57"/>
  <c r="Z11" i="57"/>
  <c r="Z14" i="57"/>
  <c r="Z13" i="57"/>
  <c r="AG10" i="57"/>
  <c r="Z12" i="57"/>
  <c r="AH30" i="57" l="1"/>
  <c r="AH20" i="57"/>
  <c r="AH23" i="57"/>
  <c r="AH33" i="57"/>
  <c r="AH28" i="57"/>
  <c r="AH36" i="57"/>
  <c r="AH34" i="57"/>
  <c r="AH18" i="57"/>
  <c r="AH16" i="57"/>
  <c r="AH17" i="57"/>
  <c r="AH22" i="57"/>
  <c r="AH25" i="57"/>
  <c r="AH31" i="57"/>
  <c r="AH21" i="57"/>
  <c r="AH35" i="57"/>
  <c r="AH32" i="57"/>
  <c r="AH26" i="57"/>
  <c r="AH29" i="57"/>
  <c r="AH24" i="57"/>
  <c r="AH19" i="57"/>
  <c r="AH27" i="57"/>
  <c r="AH15" i="57"/>
  <c r="AH11" i="57"/>
  <c r="AH14" i="57"/>
  <c r="AH13" i="57"/>
  <c r="AH12" i="57"/>
  <c r="AF18" i="57"/>
  <c r="AF21" i="57"/>
  <c r="AF36" i="57"/>
  <c r="AF31" i="57"/>
  <c r="AF29" i="57"/>
  <c r="AF19" i="57"/>
  <c r="AF35" i="57"/>
  <c r="AF20" i="57"/>
  <c r="AF33" i="57"/>
  <c r="AF22" i="57"/>
  <c r="AF23" i="57"/>
  <c r="AF25" i="57"/>
  <c r="AF24" i="57"/>
  <c r="AF26" i="57"/>
  <c r="AF16" i="57"/>
  <c r="AF27" i="57"/>
  <c r="AC10" i="57"/>
  <c r="AD10" i="57" s="1"/>
  <c r="AF28" i="57"/>
  <c r="AF34" i="57"/>
  <c r="AF30" i="57"/>
  <c r="AF17" i="57"/>
  <c r="AF32" i="57"/>
  <c r="AF15" i="57"/>
  <c r="AF11" i="57"/>
  <c r="AF14" i="57"/>
  <c r="AF13" i="57"/>
  <c r="AF12" i="57"/>
  <c r="C29" i="63" l="1"/>
  <c r="M29" i="63" s="1"/>
  <c r="C15" i="63"/>
  <c r="M15" i="63" s="1"/>
  <c r="C25" i="63"/>
  <c r="M25" i="63" s="1"/>
  <c r="O36" i="63"/>
  <c r="C22" i="63"/>
  <c r="M22" i="63" s="1"/>
  <c r="C28" i="63"/>
  <c r="C27" i="63" s="1"/>
  <c r="C14" i="63"/>
  <c r="O14" i="63" s="1"/>
  <c r="C32" i="63"/>
  <c r="M32" i="63" s="1"/>
  <c r="C17" i="63"/>
  <c r="C35" i="63"/>
  <c r="C34" i="63" s="1"/>
  <c r="C33" i="63" s="1"/>
  <c r="C24" i="63"/>
  <c r="M24" i="63" s="1"/>
  <c r="C31" i="63"/>
  <c r="O31" i="63" s="1"/>
  <c r="C21" i="63"/>
  <c r="C18" i="63"/>
  <c r="M18" i="63" s="1"/>
  <c r="C20" i="63" l="1"/>
  <c r="O32" i="63"/>
  <c r="O18" i="63"/>
  <c r="C16" i="63"/>
  <c r="M21" i="63"/>
  <c r="M20" i="63" s="1"/>
  <c r="K20" i="63" s="1"/>
  <c r="L20" i="63" s="1"/>
  <c r="M23" i="63"/>
  <c r="O30" i="63"/>
  <c r="M14" i="63"/>
  <c r="O21" i="63"/>
  <c r="O22" i="63"/>
  <c r="C13" i="63"/>
  <c r="M36" i="63"/>
  <c r="O17" i="63"/>
  <c r="C30" i="63"/>
  <c r="C26" i="63" s="1"/>
  <c r="M35" i="63"/>
  <c r="O29" i="63"/>
  <c r="O25" i="63"/>
  <c r="O35" i="63"/>
  <c r="O24" i="63"/>
  <c r="M28" i="63"/>
  <c r="M17" i="63"/>
  <c r="M31" i="63"/>
  <c r="O28" i="63"/>
  <c r="O15" i="63"/>
  <c r="C23" i="63"/>
  <c r="C19" i="63" s="1"/>
  <c r="C12" i="63" l="1"/>
  <c r="C11" i="63"/>
  <c r="O34" i="63"/>
  <c r="O20" i="63"/>
  <c r="K23" i="63"/>
  <c r="L23" i="63" s="1"/>
  <c r="O27" i="63"/>
  <c r="M34" i="63"/>
  <c r="M19" i="63"/>
  <c r="M30" i="63"/>
  <c r="M13" i="63"/>
  <c r="M16" i="63"/>
  <c r="O16" i="63"/>
  <c r="O13" i="63"/>
  <c r="O23" i="63"/>
  <c r="M27" i="63"/>
  <c r="O19" i="63" l="1"/>
  <c r="K34" i="63"/>
  <c r="L34" i="63" s="1"/>
  <c r="M33" i="63"/>
  <c r="O33" i="63"/>
  <c r="K16" i="63"/>
  <c r="L16" i="63" s="1"/>
  <c r="K27" i="63"/>
  <c r="L27" i="63" s="1"/>
  <c r="M26" i="63"/>
  <c r="K19" i="63"/>
  <c r="L19" i="63" s="1"/>
  <c r="M12" i="63"/>
  <c r="K13" i="63"/>
  <c r="L13" i="63" s="1"/>
  <c r="K30" i="63"/>
  <c r="L30" i="63" s="1"/>
  <c r="O26" i="63"/>
  <c r="M11" i="63"/>
  <c r="O11" i="63"/>
  <c r="K12" i="63" l="1"/>
  <c r="L12" i="63" s="1"/>
  <c r="O12" i="63" s="1"/>
  <c r="K26" i="63"/>
  <c r="L26" i="63" s="1"/>
  <c r="M10" i="63"/>
  <c r="K33" i="63"/>
  <c r="L33" i="63" s="1"/>
  <c r="N102" i="63" l="1"/>
  <c r="N129" i="63"/>
  <c r="N87" i="63"/>
  <c r="N106" i="63"/>
  <c r="N127" i="63"/>
  <c r="N94" i="63"/>
  <c r="N99" i="63"/>
  <c r="N98" i="63"/>
  <c r="N119" i="63"/>
  <c r="N101" i="63"/>
  <c r="N84" i="63"/>
  <c r="N137" i="63"/>
  <c r="N105" i="63"/>
  <c r="N95" i="63"/>
  <c r="N91" i="63"/>
  <c r="N130" i="63"/>
  <c r="N133" i="63"/>
  <c r="N141" i="63"/>
  <c r="N123" i="63"/>
  <c r="N88" i="63"/>
  <c r="N90" i="63"/>
  <c r="N97" i="63"/>
  <c r="N126" i="63"/>
  <c r="N104" i="63"/>
  <c r="N85" i="63"/>
  <c r="N136" i="63"/>
  <c r="N128" i="63"/>
  <c r="N92" i="63"/>
  <c r="N135" i="63"/>
  <c r="N139" i="63"/>
  <c r="N132" i="63"/>
  <c r="N86" i="63"/>
  <c r="N140" i="63"/>
  <c r="N93" i="63"/>
  <c r="N122" i="63"/>
  <c r="N100" i="63"/>
  <c r="N134" i="63"/>
  <c r="N138" i="63"/>
  <c r="N131" i="63"/>
  <c r="N96" i="63"/>
  <c r="N103" i="63"/>
  <c r="N125" i="63"/>
  <c r="N89" i="63"/>
  <c r="N83" i="63"/>
  <c r="N121" i="63"/>
  <c r="N82" i="63"/>
  <c r="N81" i="63"/>
  <c r="N116" i="63"/>
  <c r="N124" i="63"/>
  <c r="N120" i="63"/>
  <c r="N118" i="63"/>
  <c r="N117" i="63"/>
  <c r="N33" i="63"/>
  <c r="N52" i="63"/>
  <c r="N63" i="63"/>
  <c r="N64" i="63"/>
  <c r="N53" i="63"/>
  <c r="N66" i="63"/>
  <c r="N67" i="63"/>
  <c r="N70" i="63"/>
  <c r="N59" i="63"/>
  <c r="N71" i="63"/>
  <c r="N56" i="63"/>
  <c r="N57" i="63"/>
  <c r="N55" i="63"/>
  <c r="N69" i="63"/>
  <c r="N51" i="63"/>
  <c r="N60" i="63"/>
  <c r="N65" i="63"/>
  <c r="N62" i="63"/>
  <c r="N58" i="63"/>
  <c r="N61" i="63"/>
  <c r="N50" i="63"/>
  <c r="N49" i="63"/>
  <c r="N68" i="63"/>
  <c r="N48" i="63"/>
  <c r="N46" i="63"/>
  <c r="N54" i="63"/>
  <c r="N47" i="63"/>
  <c r="K10" i="63"/>
  <c r="L10" i="63" s="1"/>
  <c r="N25" i="63"/>
  <c r="N22" i="63"/>
  <c r="N20" i="63"/>
  <c r="N18" i="63"/>
  <c r="N32" i="63"/>
  <c r="N21" i="63"/>
  <c r="N24" i="63"/>
  <c r="N15" i="63"/>
  <c r="N29" i="63"/>
  <c r="N36" i="63"/>
  <c r="N31" i="63"/>
  <c r="N28" i="63"/>
  <c r="N35" i="63"/>
  <c r="N14" i="63"/>
  <c r="N17" i="63"/>
  <c r="N23" i="63"/>
  <c r="N30" i="63"/>
  <c r="N34" i="63"/>
  <c r="N19" i="63"/>
  <c r="N27" i="63"/>
  <c r="N13" i="63"/>
  <c r="N16" i="63"/>
  <c r="N26" i="63"/>
  <c r="N11" i="63"/>
  <c r="O10" i="63"/>
  <c r="N12" i="63"/>
  <c r="P94" i="63" l="1"/>
  <c r="P99" i="63"/>
  <c r="P127" i="63"/>
  <c r="P88" i="63"/>
  <c r="P91" i="63"/>
  <c r="P95" i="63"/>
  <c r="P134" i="63"/>
  <c r="P140" i="63"/>
  <c r="P130" i="63"/>
  <c r="P105" i="63"/>
  <c r="P133" i="63"/>
  <c r="P137" i="63"/>
  <c r="P136" i="63"/>
  <c r="P106" i="63"/>
  <c r="P92" i="63"/>
  <c r="P98" i="63"/>
  <c r="P84" i="63"/>
  <c r="P141" i="63"/>
  <c r="P129" i="63"/>
  <c r="P101" i="63"/>
  <c r="P87" i="63"/>
  <c r="P123" i="63"/>
  <c r="P132" i="63"/>
  <c r="P126" i="63"/>
  <c r="P139" i="63"/>
  <c r="P97" i="63"/>
  <c r="P100" i="63"/>
  <c r="P93" i="63"/>
  <c r="P135" i="63"/>
  <c r="P102" i="63"/>
  <c r="P86" i="63"/>
  <c r="P90" i="63"/>
  <c r="P104" i="63"/>
  <c r="P128" i="63"/>
  <c r="P119" i="63"/>
  <c r="P122" i="63"/>
  <c r="P85" i="63"/>
  <c r="P131" i="63"/>
  <c r="P83" i="63"/>
  <c r="P103" i="63"/>
  <c r="P125" i="63"/>
  <c r="P96" i="63"/>
  <c r="P138" i="63"/>
  <c r="P89" i="63"/>
  <c r="P121" i="63"/>
  <c r="P82" i="63"/>
  <c r="P120" i="63"/>
  <c r="P124" i="63"/>
  <c r="P81" i="63"/>
  <c r="P116" i="63"/>
  <c r="P118" i="63"/>
  <c r="P117" i="63"/>
  <c r="P52" i="63"/>
  <c r="P57" i="63"/>
  <c r="P53" i="63"/>
  <c r="P59" i="63"/>
  <c r="P64" i="63"/>
  <c r="P56" i="63"/>
  <c r="P67" i="63"/>
  <c r="P66" i="63"/>
  <c r="P71" i="63"/>
  <c r="P70" i="63"/>
  <c r="P63" i="63"/>
  <c r="P50" i="63"/>
  <c r="P62" i="63"/>
  <c r="P60" i="63"/>
  <c r="P55" i="63"/>
  <c r="P65" i="63"/>
  <c r="P51" i="63"/>
  <c r="P69" i="63"/>
  <c r="P49" i="63"/>
  <c r="P61" i="63"/>
  <c r="P48" i="63"/>
  <c r="P54" i="63"/>
  <c r="P58" i="63"/>
  <c r="P68" i="63"/>
  <c r="P46" i="63"/>
  <c r="P47" i="63"/>
  <c r="P14" i="63"/>
  <c r="P31" i="63"/>
  <c r="P36" i="63"/>
  <c r="P18" i="63"/>
  <c r="P32" i="63"/>
  <c r="P25" i="63"/>
  <c r="P15" i="63"/>
  <c r="P17" i="63"/>
  <c r="P30" i="63"/>
  <c r="P35" i="63"/>
  <c r="P28" i="63"/>
  <c r="P21" i="63"/>
  <c r="P24" i="63"/>
  <c r="P29" i="63"/>
  <c r="P22" i="63"/>
  <c r="P23" i="63"/>
  <c r="P27" i="63"/>
  <c r="P13" i="63"/>
  <c r="P16" i="63"/>
  <c r="P20" i="63"/>
  <c r="P34" i="63"/>
  <c r="P33" i="63"/>
  <c r="P11" i="63"/>
  <c r="P26" i="63"/>
  <c r="P19" i="63"/>
  <c r="P12" i="6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11" authorId="0" shapeId="0" xr:uid="{3CBD6010-85C7-204E-90EC-2DCE98A8F802}">
      <text>
        <r>
          <rPr>
            <sz val="11"/>
            <color rgb="FF000000"/>
            <rFont val="Arial"/>
            <family val="2"/>
          </rPr>
          <t>minimum water distillation when stripping, because the process works without steam injection. The fertilizer from the plant does not become dehydrated.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Marieke - VCM</author>
  </authors>
  <commentList>
    <comment ref="E7" authorId="0" shapeId="0" xr:uid="{A507B3A1-CF7B-4971-8827-3323DEF42026}">
      <text>
        <r>
          <rPr>
            <sz val="11"/>
            <color indexed="81"/>
            <rFont val="Tahoma"/>
            <family val="2"/>
          </rPr>
          <t>About 400 kg of solid fraction of digestate was fed into the first acidification tank and diluted with recirculation water at a ratio of 1:4 (w/w).</t>
        </r>
      </text>
    </comment>
    <comment ref="H7" authorId="0" shapeId="0" xr:uid="{31CE00B4-8044-4B7A-9395-E5BF451CE038}">
      <text>
        <r>
          <rPr>
            <sz val="12"/>
            <color indexed="81"/>
            <rFont val="Tahoma"/>
            <family val="2"/>
          </rPr>
          <t>Density of H2SO4 50% = 1,3951 kg/L</t>
        </r>
      </text>
    </comment>
    <comment ref="G9" authorId="0" shapeId="0" xr:uid="{C2179F79-AA42-4754-A9E7-5F58A57511D0}">
      <text>
        <r>
          <rPr>
            <sz val="12"/>
            <color indexed="81"/>
            <rFont val="Tahoma"/>
            <family val="2"/>
          </rPr>
          <t>Sulphuric acid was used to decrease the pH of the SF in order to dissolve P. The acid consumption rate of the full scale plant amounted to 22-32 L of 96% sulphuric acid.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Marieke - VCM</author>
  </authors>
  <commentList>
    <comment ref="H11" authorId="0" shapeId="0" xr:uid="{0AA839B2-127F-4582-8EC4-F66DFD297254}">
      <text>
        <r>
          <rPr>
            <sz val="12"/>
            <color indexed="81"/>
            <rFont val="Tahoma"/>
            <family val="2"/>
          </rPr>
          <t>water evaporating capacity decreases with 0.25% increase of g DM/kg in input above 40g/kg</t>
        </r>
      </text>
    </comment>
    <comment ref="H47" authorId="0" shapeId="0" xr:uid="{CF7FC4F1-A668-479A-8F48-20805EF22C92}">
      <text>
        <r>
          <rPr>
            <sz val="12"/>
            <color indexed="81"/>
            <rFont val="Tahoma"/>
            <family val="2"/>
          </rPr>
          <t>water evaporating capacity decreases with 0.25% increase of g DM/kg in input above 40g/kg</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tc={CBDBD0AF-1E21-46D4-ADD5-BFE599699471}</author>
    <author>tc={2DD24756-EF94-4E3D-AF9D-FA8299F5BBA0}</author>
    <author>tc={65286FF7-EF0A-465F-814C-4318CABDB8AC}</author>
    <author>tc={2CC96A61-DEBD-4C9C-932C-623B5085DFF5}</author>
    <author>tc={6B4F0994-85C3-4E2C-8936-0D34C72AF0CF}</author>
    <author>tc={80885590-2ED4-45AB-94C9-E5E4B7260C26}</author>
    <author>tc={DE7C331F-2991-44A1-B17B-98D7AB09A095}</author>
    <author>tc={A9662608-E902-40B1-BDD5-E2D1563965D1}</author>
    <author>tc={739255DF-4B66-45F2-BD0F-9EF0F95FB96C}</author>
    <author>tc={D0AE0212-DEFE-4D56-90A2-D654BBF1B5DD}</author>
    <author>tc={183430B4-009B-4489-8070-4540513CABAC}</author>
    <author>tc={01D7B512-CBDF-433B-9A8A-5CA7394C9491}</author>
    <author>tc={1B3ACD9B-D769-4D66-B404-3AF684924BC0}</author>
    <author>tc={801A3B54-2701-4142-8BD9-0A7BE13831B3}</author>
    <author>tc={9D3470FC-3B47-4EF8-92AB-834B72C6D1C4}</author>
    <author>tc={0D18E78F-29AA-4739-BF24-594EFAED8B0E}</author>
    <author>tc={1B4F9317-FCAC-4649-BC96-720DA2A5384D}</author>
    <author>tc={E67A2F81-F3D6-429C-9B1D-DBA0BDADAF27}</author>
    <author>tc={2E9BF5FB-6AB1-4F15-A33D-309E56EAC448}</author>
    <author>tc={C2FE1FA5-8808-403A-92F7-C2304BF3782B}</author>
    <author>tc={36CB9C45-2E8E-4157-94FC-372553D5F23D}</author>
    <author>tc={F4CCF037-97B9-497A-B133-04382A152EEC}</author>
    <author>tc={49CC959F-2039-41F0-BE96-0C5934AF84E0}</author>
    <author>tc={0965ABE6-C38C-4881-B55E-2EF0FCF0F5B3}</author>
    <author>tc={28522C3D-D97C-44B2-ACAA-2AE8C4CE4C24}</author>
    <author>tc={B3FA4282-9BB1-4B40-BCBA-3D8E364BFFFA}</author>
    <author>tc={F9E3A78F-3B1B-433D-BFC7-C7BE3B7B1CA7}</author>
    <author>tc={06238AF0-4953-4AD1-8DD5-2B4B57F3281D}</author>
    <author>tc={A7FF551B-EB76-42B2-A7E5-E5B526AA5DD0}</author>
    <author>tc={61BEFD1B-A1D8-4396-ACE9-5385F2B7940F}</author>
    <author>tc={F8363063-6E98-4209-9222-DD9956C6A6B4}</author>
    <author>tc={3F90D101-3B5A-4FDA-8BAD-1A20C5B3D22B}</author>
    <author>tc={A93F4D2E-392B-4248-B90D-CAB5303E65AD}</author>
    <author>tc={2208BFB0-3747-4CF3-BC74-12BD0FF19479}</author>
  </authors>
  <commentList>
    <comment ref="I18" authorId="0" shapeId="0" xr:uid="{CBDBD0AF-1E21-46D4-ADD5-BFE599699471}">
      <text>
        <t>[Opmerkingenthread]
U kunt deze opmerkingenthread lezen in uw versie van Excel. Eventuele wijzigingen aan de thread gaan echter verloren als het bestand wordt geopend in een nieuwere versie van Excel. Meer informatie: https://go.microsoft.com/fwlink/?linkid=870924
Opmerking:
    GZV combinatie met Fe2SO43 in tweede centrifuge</t>
      </text>
    </comment>
    <comment ref="L18" authorId="1" shapeId="0" xr:uid="{2DD24756-EF94-4E3D-AF9D-FA8299F5BBA0}">
      <text>
        <t>[Opmerkingenthread]
U kunt deze opmerkingenthread lezen in uw versie van Excel. Eventuele wijzigingen aan de thread gaan echter verloren als het bestand wordt geopend in een nieuwere versie van Excel. Meer informatie: https://go.microsoft.com/fwlink/?linkid=870924
Opmerking:
    (Brienza et al., 2018)
Groot Zevert Vergisting: calculated and estimated figures by Nijhuis Industries, Polymer addition 0.063 kg PM/ton input DAF</t>
      </text>
    </comment>
    <comment ref="M18" authorId="2" shapeId="0" xr:uid="{65286FF7-EF0A-465F-814C-4318CABDB8AC}">
      <text>
        <t>[Opmerkingenthread]
U kunt deze opmerkingenthread lezen in uw versie van Excel. Eventuele wijzigingen aan de thread gaan echter verloren als het bestand wordt geopend in een nieuwere versie van Excel. Meer informatie: https://go.microsoft.com/fwlink/?linkid=870924
Opmerking:
    AM-Power:polymer and FeCl3 dosed to DAF -&gt; pol: 46l/m3  -  FeCI3: +- 3,5l/m3</t>
      </text>
    </comment>
    <comment ref="J22" authorId="3" shapeId="0" xr:uid="{2CC96A61-DEBD-4C9C-932C-623B5085DFF5}">
      <text>
        <t>[Opmerkingenthread]
U kunt deze opmerkingenthread lezen in uw versie van Excel. Eventuele wijzigingen aan de thread gaan echter verloren als het bestand wordt geopend in een nieuwere versie van Excel. Meer informatie: https://go.microsoft.com/fwlink/?linkid=870924
Opmerking:
    AM-Power? polymer (0.35% solution 100L/m³ ) and FeSO4 (40% 225L/24m³)</t>
      </text>
    </comment>
    <comment ref="I24" authorId="4" shapeId="0" xr:uid="{6B4F0994-85C3-4E2C-8936-0D34C72AF0CF}">
      <text>
        <t>[Opmerkingenthread]
U kunt deze opmerkingenthread lezen in uw versie van Excel. Eventuele wijzigingen aan de thread gaan echter verloren als het bestand wordt geopend in een nieuwere versie van Excel. Meer informatie: https://go.microsoft.com/fwlink/?linkid=870924
Opmerking:
    AM-Power: polymer and FeCl3 dosed to DAF -&gt; pol: 46l/m3  -  FeCI3: +- 3,5l/m3</t>
      </text>
    </comment>
    <comment ref="I26" authorId="5" shapeId="0" xr:uid="{80885590-2ED4-45AB-94C9-E5E4B7260C26}">
      <text>
        <t>[Opmerkingenthread]
U kunt deze opmerkingenthread lezen in uw versie van Excel. Eventuele wijzigingen aan de thread gaan echter verloren als het bestand wordt geopend in een nieuwere versie van Excel. Meer informatie: https://go.microsoft.com/fwlink/?linkid=870924
Opmerking:
    GZV</t>
      </text>
    </comment>
    <comment ref="J26" authorId="6" shapeId="0" xr:uid="{DE7C331F-2991-44A1-B17B-98D7AB09A095}">
      <text>
        <t>[Opmerkingenthread]
U kunt deze opmerkingenthread lezen in uw versie van Excel. Eventuele wijzigingen aan de thread gaan echter verloren als het bestand wordt geopend in een nieuwere versie van Excel. Meer informatie: https://go.microsoft.com/fwlink/?linkid=870924
Opmerking:
    AM-Power? polymer (3.5% solution 100L/m³ ) and FeSO4 (40% 225L/24m³)</t>
      </text>
    </comment>
    <comment ref="K26" authorId="7" shapeId="0" xr:uid="{A9662608-E902-40B1-BDD5-E2D1563965D1}">
      <text>
        <t>[Opmerkingenthread]
U kunt deze opmerkingenthread lezen in uw versie van Excel. Eventuele wijzigingen aan de thread gaan echter verloren als het bestand wordt geopend in een nieuwere versie van Excel. Meer informatie: https://go.microsoft.com/fwlink/?linkid=870924
Opmerking:
    GZV combi met PM in tweede centrifuge. 0.9 LFe2SO43 42%/m³</t>
      </text>
    </comment>
    <comment ref="I28" authorId="8" shapeId="0" xr:uid="{739255DF-4B66-45F2-BD0F-9EF0F95FB96C}">
      <text>
        <t>[Opmerkingenthread]
U kunt deze opmerkingenthread lezen in uw versie van Excel. Eventuele wijzigingen aan de thread gaan echter verloren als het bestand wordt geopend in een nieuwere versie van Excel. Meer informatie: https://go.microsoft.com/fwlink/?linkid=870924
Opmerking:
    GZV</t>
      </text>
    </comment>
    <comment ref="J30" authorId="9" shapeId="0" xr:uid="{D0AE0212-DEFE-4D56-90A2-D654BBF1B5DD}">
      <text>
        <t>[Opmerkingenthread]
U kunt deze opmerkingenthread lezen in uw versie van Excel. Eventuele wijzigingen aan de thread gaan echter verloren als het bestand wordt geopend in een nieuwere versie van Excel. Meer informatie: https://go.microsoft.com/fwlink/?linkid=870924
Opmerking:
    AM-Power combi met PM</t>
      </text>
    </comment>
    <comment ref="I32" authorId="10" shapeId="0" xr:uid="{183430B4-009B-4489-8070-4540513CABAC}">
      <text>
        <t>[Opmerkingenthread]
U kunt deze opmerkingenthread lezen in uw versie van Excel. Eventuele wijzigingen aan de thread gaan echter verloren als het bestand wordt geopend in een nieuwere versie van Excel. Meer informatie: https://go.microsoft.com/fwlink/?linkid=870924
Opmerking:
    AM-Power: polymer and FeCl3 dosed to DAF -&gt; pol: 46l/m3  -  FeCI3: +- 3,5l/m3</t>
      </text>
    </comment>
    <comment ref="J34" authorId="11" shapeId="0" xr:uid="{01D7B512-CBDF-433B-9A8A-5CA7394C9491}">
      <text>
        <t>[Opmerkingenthread]
U kunt deze opmerkingenthread lezen in uw versie van Excel. Eventuele wijzigingen aan de thread gaan echter verloren als het bestand wordt geopend in een nieuwere versie van Excel. Meer informatie: https://go.microsoft.com/fwlink/?linkid=870924
Opmerking:
     AM-Power: antifoam dosed to decanter -&gt; 0,1l/m3 (blend LF and DIG)</t>
      </text>
    </comment>
    <comment ref="O34" authorId="12" shapeId="0" xr:uid="{1B3ACD9B-D769-4D66-B404-3AF684924BC0}">
      <text>
        <t>[Opmerkingenthread]
U kunt deze opmerkingenthread lezen in uw versie van Excel. Eventuele wijzigingen aan de thread gaan echter verloren als het bestand wordt geopend in een nieuwere versie van Excel. Meer informatie: https://go.microsoft.com/fwlink/?linkid=870924
Opmerking:
    between 2.5-3.8€/kg</t>
      </text>
    </comment>
    <comment ref="I36" authorId="13" shapeId="0" xr:uid="{801A3B54-2701-4142-8BD9-0A7BE13831B3}">
      <text>
        <t>[Opmerkingenthread]
U kunt deze opmerkingenthread lezen in uw versie van Excel. Eventuele wijzigingen aan de thread gaan echter verloren als het bestand wordt geopend in een nieuwere versie van Excel. Meer informatie: https://go.microsoft.com/fwlink/?linkid=870924
Opmerking:
    Waterleau New Energy uses 0.4L anti-foam/m³ of liquid faction and (Kühne 2018) also reported amounts of 0.3L/m³ of liquid fraction in the evaporator.</t>
      </text>
    </comment>
    <comment ref="J36" authorId="14" shapeId="0" xr:uid="{9D3470FC-3B47-4EF8-92AB-834B72C6D1C4}">
      <text>
        <t>[Opmerkingenthread]
U kunt deze opmerkingenthread lezen in uw versie van Excel. Eventuele wijzigingen aan de thread gaan echter verloren als het bestand wordt geopend in een nieuwere versie van Excel. Meer informatie: https://go.microsoft.com/fwlink/?linkid=870924
Opmerking:
    Figure 2-18 shows the consumption of anti-foam in the evaporator at AM-Power: 1-2L/m³</t>
      </text>
    </comment>
    <comment ref="I38" authorId="15" shapeId="0" xr:uid="{0D18E78F-29AA-4739-BF24-594EFAED8B0E}">
      <text>
        <t>[Opmerkingenthread]
U kunt deze opmerkingenthread lezen in uw versie van Excel. Eventuele wijzigingen aan de thread gaan echter verloren als het bestand wordt geopend in een nieuwere versie van Excel. Meer informatie: https://go.microsoft.com/fwlink/?linkid=870924
Opmerking:
    AM-Power:polymer and FeCl3 dosed to DAF -&gt; pol: 46l/m3  -  FeCI3: +- 3,5l/m3</t>
      </text>
    </comment>
    <comment ref="J38" authorId="16" shapeId="0" xr:uid="{1B4F9317-FCAC-4649-BC96-720DA2A5384D}">
      <text>
        <t>[Opmerkingenthread]
U kunt deze opmerkingenthread lezen in uw versie van Excel. Eventuele wijzigingen aan de thread gaan echter verloren als het bestand wordt geopend in een nieuwere versie van Excel. Meer informatie: https://go.microsoft.com/fwlink/?linkid=870924
Opmerking:
    (Brienza et al., 2018)
Groot Zevert Vergisting: calculated and estimated figures by Nijhuis Industries, Polymer addition 0.063 kg PM/ton input</t>
      </text>
    </comment>
    <comment ref="I42" authorId="17" shapeId="0" xr:uid="{E67A2F81-F3D6-429C-9B1D-DBA0BDADAF27}">
      <text>
        <t>[Opmerkingenthread]
U kunt deze opmerkingenthread lezen in uw versie van Excel. Eventuele wijzigingen aan de thread gaan echter verloren als het bestand wordt geopend in een nieuwere versie van Excel. Meer informatie: https://go.microsoft.com/fwlink/?linkid=870924
Opmerking:
    AM-Power ±7-9 L H2SO4 (96%)/m³ liquid fraction to adjust the pH from 7.5 to 6.</t>
      </text>
    </comment>
    <comment ref="J42" authorId="18" shapeId="0" xr:uid="{2E9BF5FB-6AB1-4F15-A33D-309E56EAC448}">
      <text>
        <t>[Opmerkingenthread]
U kunt deze opmerkingenthread lezen in uw versie van Excel. Eventuele wijzigingen aan de thread gaan echter verloren als het bestand wordt geopend in een nieuwere versie van Excel. Meer informatie: https://go.microsoft.com/fwlink/?linkid=870924
Opmerking:
    A lab scale study of Bonmati and Flotats (2012) only used 3 L H2SO4 (96%)/m³ liquid fraction to get from pH 8.7 to pH 6.</t>
      </text>
    </comment>
    <comment ref="I44" authorId="19" shapeId="0" xr:uid="{C2FE1FA5-8808-403A-92F7-C2304BF3782B}">
      <text>
        <t>[Opmerkingenthread]
U kunt deze opmerkingenthread lezen in uw versie van Excel. Eventuele wijzigingen aan de thread gaan echter verloren als het bestand wordt geopend in een nieuwere versie van Excel. Meer informatie: https://go.microsoft.com/fwlink/?linkid=870924
Opmerking:
    AM-Power:  H2SO4 37% +- 2 kg/m3</t>
      </text>
    </comment>
    <comment ref="I46" authorId="20" shapeId="0" xr:uid="{36CB9C45-2E8E-4157-94FC-372553D5F23D}">
      <text>
        <t>[Opmerkingenthread]
U kunt deze opmerkingenthread lezen in uw versie van Excel. Eventuele wijzigingen aan de thread gaan echter verloren als het bestand wordt geopend in een nieuwere versie van Excel. Meer informatie: https://go.microsoft.com/fwlink/?linkid=870924
Opmerking:
    AM-Power:   NaOH +- 0,7 kg/m3</t>
      </text>
    </comment>
    <comment ref="I49" authorId="21" shapeId="0" xr:uid="{F4CCF037-97B9-497A-B133-04382A152EEC}">
      <text>
        <t>[Opmerkingenthread]
U kunt deze opmerkingenthread lezen in uw versie van Excel. Eventuele wijzigingen aan de thread gaan echter verloren als het bestand wordt geopend in een nieuwere versie van Excel. Meer informatie: https://go.microsoft.com/fwlink/?linkid=870924
Opmerking:
    AM-Power:acidification: H2SO4 96% 2,7 kg/m3
Beantwoorden:
    GZV: 1 a 1,5 L 96% zwavelzuur als je het uitdrukt per verwerkte m3 digestaat.
GZV gebruikt erg weinig zwavelzuur. Dit doen ze expres om een NK-concentraat te maken met een laag zwavel gehalte, ze zijn daar een redelijke uitzondering in</t>
      </text>
    </comment>
    <comment ref="J49" authorId="22" shapeId="0" xr:uid="{49CC959F-2039-41F0-BE96-0C5934AF84E0}">
      <text>
        <t>[Opmerkingenthread]
U kunt deze opmerkingenthread lezen in uw versie van Excel. Eventuele wijzigingen aan de thread gaan echter verloren als het bestand wordt geopend in een nieuwere versie van Excel. Meer informatie: https://go.microsoft.com/fwlink/?linkid=870924
Opmerking:
    3-13L H2SO4(96%)/m³ input (Kühne 2018, Waterleau New Energy,2020).</t>
      </text>
    </comment>
    <comment ref="I51" authorId="23" shapeId="0" xr:uid="{0965ABE6-C38C-4881-B55E-2EF0FCF0F5B3}">
      <text>
        <t>[Opmerkingenthread]
U kunt deze opmerkingenthread lezen in uw versie van Excel. Eventuele wijzigingen aan de thread gaan echter verloren als het bestand wordt geopend in een nieuwere versie van Excel. Meer informatie: https://go.microsoft.com/fwlink/?linkid=870924
Opmerking:
    1L H2SO4 96%; 2L NaOH(50%) per 100m³ RO input</t>
      </text>
    </comment>
    <comment ref="I53" authorId="24" shapeId="0" xr:uid="{28522C3D-D97C-44B2-ACAA-2AE8C4CE4C24}">
      <text>
        <t>[Opmerkingenthread]
U kunt deze opmerkingenthread lezen in uw versie van Excel. Eventuele wijzigingen aan de thread gaan echter verloren als het bestand wordt geopend in een nieuwere versie van Excel. Meer informatie: https://go.microsoft.com/fwlink/?linkid=870924
Opmerking:
    1L H2SO4 96%; 2L NaOH(50%) per 100m³ RO input</t>
      </text>
    </comment>
    <comment ref="I55" authorId="25" shapeId="0" xr:uid="{B3FA4282-9BB1-4B40-BCBA-3D8E364BFFFA}">
      <text>
        <t>[Opmerkingenthread]
U kunt deze opmerkingenthread lezen in uw versie van Excel. Eventuele wijzigingen aan de thread gaan echter verloren als het bestand wordt geopend in een nieuwere versie van Excel. Meer informatie: https://go.microsoft.com/fwlink/?linkid=870924
Opmerking:
    GZV: 10m³ per 100m³ RO permeate</t>
      </text>
    </comment>
    <comment ref="J55" authorId="26" shapeId="0" xr:uid="{F9E3A78F-3B1B-433D-BFC7-C7BE3B7B1CA7}">
      <text>
        <t>[Opmerkingenthread]
U kunt deze opmerkingenthread lezen in uw versie van Excel. Eventuele wijzigingen aan de thread gaan echter verloren als het bestand wordt geopend in een nieuwere versie van Excel. Meer informatie: https://go.microsoft.com/fwlink/?linkid=870924
Opmerking:
    GZV: 10m³ per 120m³ RO permeate</t>
      </text>
    </comment>
    <comment ref="E77" authorId="27" shapeId="0" xr:uid="{06238AF0-4953-4AD1-8DD5-2B4B57F3281D}">
      <text>
        <t>[Opmerkingenthread]
U kunt deze opmerkingenthread lezen in uw versie van Excel. Eventuele wijzigingen aan de thread gaan echter verloren als het bestand wordt geopend in een nieuwere versie van Excel. Meer informatie: https://go.microsoft.com/fwlink/?linkid=870924
Opmerking:
    Lab results 2017:(Schoumans et al. 2017)</t>
      </text>
    </comment>
    <comment ref="F77" authorId="28" shapeId="0" xr:uid="{A7FF551B-EB76-42B2-A7E5-E5B526AA5DD0}">
      <text>
        <t>[Opmerkingenthread]
U kunt deze opmerkingenthread lezen in uw versie van Excel. Eventuele wijzigingen aan de thread gaan echter verloren als het bestand wordt geopend in een nieuwere versie van Excel. Meer informatie: https://go.microsoft.com/fwlink/?linkid=870924
Opmerking:
    Pilot tests 2017:Solid fraction was twice acidified (Regelink et al. 2019)</t>
      </text>
    </comment>
    <comment ref="G77" authorId="29" shapeId="0" xr:uid="{61BEFD1B-A1D8-4396-ACE9-5385F2B7940F}">
      <text>
        <t>[Opmerkingenthread]
U kunt deze opmerkingenthread lezen in uw versie van Excel. Eventuele wijzigingen aan de thread gaan echter verloren als het bestand wordt geopend in een nieuwere versie van Excel. Meer informatie: https://go.microsoft.com/fwlink/?linkid=870924
Opmerking:
    The acid consumption rate of the full scale plant amounted to 25 L of 98% sulphuric acid.</t>
      </text>
    </comment>
    <comment ref="H77" authorId="30" shapeId="0" xr:uid="{F8363063-6E98-4209-9222-DD9956C6A6B4}">
      <text>
        <t>[Opmerkingenthread]
U kunt deze opmerkingenthread lezen in uw versie van Excel. Eventuele wijzigingen aan de thread gaan echter verloren als het bestand wordt geopend in een nieuwere versie van Excel. Meer informatie: https://go.microsoft.com/fwlink/?linkid=870924
Opmerking:
    26 kg 96% sulphuric acid/ton SF 
from: Table 2-43 Costs of chemicals to be used on RePeat (Brienza et al.2019; Regelink et al. 2019)</t>
      </text>
    </comment>
    <comment ref="I77" authorId="31" shapeId="0" xr:uid="{3F90D101-3B5A-4FDA-8BAD-1A20C5B3D22B}">
      <text>
        <t>[Opmerkingenthread]
U kunt deze opmerkingenthread lezen in uw versie van Excel. Eventuele wijzigingen aan de thread gaan echter verloren als het bestand wordt geopend in een nieuwere versie van Excel. Meer informatie: https://go.microsoft.com/fwlink/?linkid=870924
Opmerking:
    Average of 4 batches, solid fraction was acidified once. Solid fraction was used with a P content of 11 g/kg. This content is far above the normal P content of about 6-8 g/kg.(Regelink et al. 2019)</t>
      </text>
    </comment>
    <comment ref="C80" authorId="32" shapeId="0" xr:uid="{A93F4D2E-392B-4248-B90D-CAB5303E65AD}">
      <text>
        <t>[Opmerkingenthread]
U kunt deze opmerkingenthread lezen in uw versie van Excel. Eventuele wijzigingen aan de thread gaan echter verloren als het bestand wordt geopend in een nieuwere versie van Excel. Meer informatie: https://go.microsoft.com/fwlink/?linkid=870924
Opmerking:
    mol/kg DS (3% DS)</t>
      </text>
    </comment>
    <comment ref="F96" authorId="33" shapeId="0" xr:uid="{2208BFB0-3747-4CF3-BC74-12BD0FF19479}">
      <text>
        <t>[Opmerkingenthread]
U kunt deze opmerkingenthread lezen in uw versie van Excel. Eventuele wijzigingen aan de thread gaan echter verloren als het bestand wordt geopend in een nieuwere versie van Excel. Meer informatie: https://go.microsoft.com/fwlink/?linkid=870924
Opmerking:
    In the full scale installation, calcium hydroxide was used to increase the pH in the precipitation tank. The consumption of 45%Ca(OH)2 varied between 20 – 40 kg per ton treated solid fraction during three months of monitoring of the full scale plant in 2020 (Regelink et al, 2019)</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12" authorId="0" shapeId="0" xr:uid="{00000000-0006-0000-1100-000001000000}">
      <text>
        <r>
          <rPr>
            <sz val="11"/>
            <color theme="1"/>
            <rFont val="Arial"/>
            <family val="2"/>
          </rPr>
          <t>======
ID#AAAAIDiYI5s
tc={4B6EB3FE-00C8-4EA1-A730-984D72492868}    (2021-03-17 08:13:04)
[Opmerkingenthread]
U kunt deze opmerkingenthread lezen in uw versie van Excel. Eventuele wijzigingen aan de thread gaan echter verloren als het bestand wordt geopend in een nieuwere versie van Excel. Meer informatie: https://go.microsoft.com/fwlink/?linkid=870924
Opmerking:
    Total: S 0,52-0,51; Cl:1,9-0,4; Mg: 0,9-1,3;Ca 3,2-1,8;Na:1,1-1
Beantwoorden:
    Assumption suspended:S 0,52*0.3; Cl:1,9*0.05; Mg: 0,9*0.8;Ca 3,2*0.5;Na:1,1*0.1</t>
        </r>
      </text>
    </comment>
  </commentList>
  <extLst>
    <ext xmlns:r="http://schemas.openxmlformats.org/officeDocument/2006/relationships" uri="GoogleSheetsCustomDataVersion1">
      <go:sheetsCustomData xmlns:go="http://customooxmlschemas.google.com/" r:id="rId1" roundtripDataSignature="AMtx7mgAt1tbIJElV0lvfViB+XgGekjXYA=="/>
    </ext>
  </extLst>
</comments>
</file>

<file path=xl/sharedStrings.xml><?xml version="1.0" encoding="utf-8"?>
<sst xmlns="http://schemas.openxmlformats.org/spreadsheetml/2006/main" count="1911" uniqueCount="488">
  <si>
    <t>Component</t>
  </si>
  <si>
    <t>mass</t>
  </si>
  <si>
    <t>water</t>
  </si>
  <si>
    <t>mass - Total DM</t>
  </si>
  <si>
    <t>Total DM</t>
  </si>
  <si>
    <t>DM (inorg)</t>
  </si>
  <si>
    <t>DM(inorg,susp)+DM(inorg,diss)</t>
  </si>
  <si>
    <t>DM (inorg, susp)</t>
  </si>
  <si>
    <t>N (inorg, susp) + P (inorg, susp) +K(inorg, susp)+Mg (inorg, susp) + Ca (inorg, susp)+S (inorg, susp) +Cl (inorg, susp)≤DM (inorg, susp)</t>
  </si>
  <si>
    <t>DM (inorg, diss)</t>
  </si>
  <si>
    <t>Total DM - DM (inorg, susp)- DM (org)</t>
  </si>
  <si>
    <t>OM</t>
  </si>
  <si>
    <t>DM (org, susp)</t>
  </si>
  <si>
    <t>0.71* DM (org)</t>
  </si>
  <si>
    <t>%</t>
  </si>
  <si>
    <t>DM (org, diss)</t>
  </si>
  <si>
    <t>0.29* DM (org)</t>
  </si>
  <si>
    <t>N total</t>
  </si>
  <si>
    <t>N(inorg)</t>
  </si>
  <si>
    <t>N (inorg, diss)</t>
  </si>
  <si>
    <t>N (inorg, susp)</t>
  </si>
  <si>
    <t>N (org)</t>
  </si>
  <si>
    <t>N total- N(inorg)</t>
  </si>
  <si>
    <t>N (org, susp)</t>
  </si>
  <si>
    <t>0.34*N (org)</t>
  </si>
  <si>
    <t>N (org, diss)</t>
  </si>
  <si>
    <t>0.66*N (org)</t>
  </si>
  <si>
    <t>Ptotal</t>
  </si>
  <si>
    <t>P(inorg)</t>
  </si>
  <si>
    <t>P (inorg, diss)</t>
  </si>
  <si>
    <t>P (inorg, susp)</t>
  </si>
  <si>
    <t>P (org)</t>
  </si>
  <si>
    <t>P total- P(inorg)</t>
  </si>
  <si>
    <t>P (org, susp)</t>
  </si>
  <si>
    <t>0.75* P (org)</t>
  </si>
  <si>
    <t>P (org, diss)</t>
  </si>
  <si>
    <t>0.25* P (org)</t>
  </si>
  <si>
    <t>K total</t>
  </si>
  <si>
    <t>K (inorg)</t>
  </si>
  <si>
    <t>K(inorg, diss)+K(inorg, susp)</t>
  </si>
  <si>
    <t>K (inorg, diss)</t>
  </si>
  <si>
    <t>0.86* Total K</t>
  </si>
  <si>
    <t>K (inorg, susp)</t>
  </si>
  <si>
    <t>0.14* Total K</t>
  </si>
  <si>
    <t>K (org)</t>
  </si>
  <si>
    <t>K(org, diss)+K(org, susp)</t>
  </si>
  <si>
    <t>K (org, susp)</t>
  </si>
  <si>
    <t>0* Total K</t>
  </si>
  <si>
    <t>K (org, diss)</t>
  </si>
  <si>
    <t>solid fraction</t>
  </si>
  <si>
    <t>cattle</t>
  </si>
  <si>
    <t>pH</t>
  </si>
  <si>
    <t>mg P/L</t>
  </si>
  <si>
    <t>DAF</t>
  </si>
  <si>
    <t>NaOH</t>
  </si>
  <si>
    <t>Reverse osmosis</t>
  </si>
  <si>
    <t>kg/L</t>
  </si>
  <si>
    <t>Ion exchange</t>
  </si>
  <si>
    <t>RO</t>
  </si>
  <si>
    <t>IX</t>
  </si>
  <si>
    <t>eq H+/kg solid fr</t>
  </si>
  <si>
    <t>RePeat</t>
  </si>
  <si>
    <t>2 screw presses</t>
  </si>
  <si>
    <t>input</t>
  </si>
  <si>
    <t>liquid fraction</t>
  </si>
  <si>
    <t>Ca(SO4)2 sludge</t>
  </si>
  <si>
    <t>Ca-P salts sludge</t>
  </si>
  <si>
    <t>water vapour</t>
  </si>
  <si>
    <t>dilution water</t>
  </si>
  <si>
    <t>pH 5</t>
  </si>
  <si>
    <t>mass (kg)</t>
  </si>
  <si>
    <t>Water+Total DM</t>
  </si>
  <si>
    <t>concentration (g/kg)</t>
  </si>
  <si>
    <t>mass (g)</t>
  </si>
  <si>
    <t>DM(inorg) + DM(org)</t>
  </si>
  <si>
    <t>RR= Total DM(liquid fraction)/ total DM (input+additive)</t>
  </si>
  <si>
    <t>DM(inorg,diss) + DM(inorg, susp)</t>
  </si>
  <si>
    <t>RR= DM (inorg) liquid fraction/ DM (inorg) input+additive</t>
  </si>
  <si>
    <t>N (org)+P(org)+K(org)+ DM(org)</t>
  </si>
  <si>
    <t>DM(org,diss) + DM(org, susp)</t>
  </si>
  <si>
    <t>RR= Total N(liquid fraction)/ total N (input)</t>
  </si>
  <si>
    <t>N(inorg,diss) + N(inorg, susp)</t>
  </si>
  <si>
    <t>RR= N (inorg) liquid fraction/ N (inorg) input</t>
  </si>
  <si>
    <t>N(org,diss) + N(org, susp)</t>
  </si>
  <si>
    <t>RR= N (org) liquid fraction/ N (org) input</t>
  </si>
  <si>
    <t>P(inorg) + P(org)</t>
  </si>
  <si>
    <t>RR= Total P(SF)/ total P (input)</t>
  </si>
  <si>
    <t>RR= Total P(liquid fraction)/ total P (input)</t>
  </si>
  <si>
    <t>P(inorg,diss) + P(inorg, susp)</t>
  </si>
  <si>
    <t>RR= P (inorg) liquid fraction/ P (inorg) input</t>
  </si>
  <si>
    <t>P(org,diss) + P(org, susp)</t>
  </si>
  <si>
    <t>RR= P (org) liquid fraction/ P (org) input</t>
  </si>
  <si>
    <t>K(inorg) + K(org)</t>
  </si>
  <si>
    <t>RR= Total K(liquid fraction)/ total K (input)</t>
  </si>
  <si>
    <t>K(inorg,diss) + K(inorg, susp)</t>
  </si>
  <si>
    <t>RR= K (inorg) liquid fraction/ K (inorg) input</t>
  </si>
  <si>
    <t>K(org,diss) + K(org, susp)</t>
  </si>
  <si>
    <t>RR= K (org) liquid fraction/ K (org) input</t>
  </si>
  <si>
    <t>acidification to pH 5</t>
  </si>
  <si>
    <t>@20°C, pH5</t>
  </si>
  <si>
    <t>N(inorg, diss)</t>
  </si>
  <si>
    <t>=100% NH4</t>
  </si>
  <si>
    <t>Average</t>
  </si>
  <si>
    <t>H2SO4</t>
  </si>
  <si>
    <t>Ca(OH)2</t>
  </si>
  <si>
    <t>mol Ca(OH)2 needed per ton solid fr</t>
  </si>
  <si>
    <t>indien aannames in deze kolom worden aangepast, dienen gele velden opnieuw geconfigureerd te worden om uit te komen op de RR van massa, total, inorg of inorg,diss en org</t>
  </si>
  <si>
    <t>Centrifuge</t>
  </si>
  <si>
    <t>Screw press</t>
  </si>
  <si>
    <t>Belt press</t>
  </si>
  <si>
    <t>Price</t>
  </si>
  <si>
    <t>without additive</t>
  </si>
  <si>
    <t>with additive</t>
  </si>
  <si>
    <t>concentration</t>
  </si>
  <si>
    <t>FeCl3</t>
  </si>
  <si>
    <t>Flocculant</t>
  </si>
  <si>
    <t>Mass (digestate)</t>
  </si>
  <si>
    <t>Without additives</t>
  </si>
  <si>
    <t>With additive</t>
  </si>
  <si>
    <t>Total DM (org)</t>
  </si>
  <si>
    <t>Total P</t>
  </si>
  <si>
    <t>N(inorg) + N(org)</t>
  </si>
  <si>
    <t>Total N</t>
  </si>
  <si>
    <t>N(inorg,diss)/0,95</t>
  </si>
  <si>
    <t>0.05*N (inorg)</t>
  </si>
  <si>
    <t>Total K</t>
  </si>
  <si>
    <t>P (inorg,diss)/0,19</t>
  </si>
  <si>
    <t>0.81* P (inorg)</t>
  </si>
  <si>
    <t>K total- K(org)</t>
  </si>
  <si>
    <t>(NH4)2SO4</t>
  </si>
  <si>
    <t>g/kg</t>
  </si>
  <si>
    <t>N</t>
  </si>
  <si>
    <t>H2O</t>
  </si>
  <si>
    <t>NH4</t>
  </si>
  <si>
    <t>concentration(%)</t>
  </si>
  <si>
    <t>CaSO4.2H2O</t>
  </si>
  <si>
    <t>CaSO4</t>
  </si>
  <si>
    <t>Ca</t>
  </si>
  <si>
    <t>SO4</t>
  </si>
  <si>
    <t>mol</t>
  </si>
  <si>
    <t>CaSO4(g/kg)</t>
  </si>
  <si>
    <t>CaSO4.2H2O(g/kg)</t>
  </si>
  <si>
    <t>RR= Total N(SF)/ total N (input)</t>
  </si>
  <si>
    <t>evaporator</t>
  </si>
  <si>
    <t>Evaporation</t>
  </si>
  <si>
    <t>Fluidized bed dryer</t>
  </si>
  <si>
    <t>Solid fraction</t>
  </si>
  <si>
    <r>
      <rPr>
        <sz val="9"/>
        <color theme="1"/>
        <rFont val="Verdana"/>
        <family val="2"/>
      </rPr>
      <t xml:space="preserve">One recovery rate for all types of digestate: </t>
    </r>
    <r>
      <rPr>
        <b/>
        <sz val="9"/>
        <color theme="1"/>
        <rFont val="Verdana"/>
        <family val="2"/>
      </rPr>
      <t xml:space="preserve">% from the digestate that </t>
    </r>
    <r>
      <rPr>
        <b/>
        <u/>
        <sz val="9"/>
        <color theme="1"/>
        <rFont val="Verdana"/>
        <family val="2"/>
      </rPr>
      <t>ends up in the solid fraction</t>
    </r>
    <r>
      <rPr>
        <b/>
        <sz val="9"/>
        <color theme="1"/>
        <rFont val="Verdana"/>
        <family val="2"/>
      </rPr>
      <t xml:space="preserve"> after separation</t>
    </r>
  </si>
  <si>
    <t>RR= mass (SF)/ mass (input)</t>
  </si>
  <si>
    <t>RR= Mass (liquid fraction)/ Mass (input+additive)</t>
  </si>
  <si>
    <t>RR= Total DM(SF)/ total DM (input)</t>
  </si>
  <si>
    <t>RR= DM (inorg) SF/ DM (inorg) input</t>
  </si>
  <si>
    <t>RR= DM (org) SF/ DM (org) input</t>
  </si>
  <si>
    <t>RR= DM (org) liquid fraction/ DM (org) input+additive</t>
  </si>
  <si>
    <t>RR= N (inorg) SF/ N (inorg) input</t>
  </si>
  <si>
    <t>RR= N (org) SF/ N (org) input</t>
  </si>
  <si>
    <t>RR= P (inorg) SF/ P (inorg) input</t>
  </si>
  <si>
    <t>RR= P (org) SF/ P (org) input</t>
  </si>
  <si>
    <t>RR= Total K(SF)/ total K (input)</t>
  </si>
  <si>
    <t>RR= K (inorg) SF/ K (inorg) input</t>
  </si>
  <si>
    <t>RR= K (org) SF/ K (org) input</t>
  </si>
  <si>
    <r>
      <rPr>
        <sz val="9"/>
        <color theme="1"/>
        <rFont val="Verdana"/>
        <family val="2"/>
      </rPr>
      <t xml:space="preserve">One recovery rate for all types of digestate: </t>
    </r>
    <r>
      <rPr>
        <b/>
        <sz val="9"/>
        <color theme="1"/>
        <rFont val="Verdana"/>
        <family val="2"/>
      </rPr>
      <t xml:space="preserve">% from the digestate that </t>
    </r>
    <r>
      <rPr>
        <b/>
        <u/>
        <sz val="9"/>
        <color theme="1"/>
        <rFont val="Verdana"/>
        <family val="2"/>
      </rPr>
      <t>ends up in the solid fraction</t>
    </r>
    <r>
      <rPr>
        <b/>
        <sz val="9"/>
        <color theme="1"/>
        <rFont val="Verdana"/>
        <family val="2"/>
      </rPr>
      <t xml:space="preserve"> after separation</t>
    </r>
  </si>
  <si>
    <r>
      <rPr>
        <sz val="9"/>
        <color theme="1"/>
        <rFont val="Verdana"/>
        <family val="2"/>
      </rPr>
      <t xml:space="preserve">One recovery rate for all types of digestate: </t>
    </r>
    <r>
      <rPr>
        <b/>
        <sz val="9"/>
        <color theme="1"/>
        <rFont val="Verdana"/>
        <family val="2"/>
      </rPr>
      <t xml:space="preserve">% from the digestate that </t>
    </r>
    <r>
      <rPr>
        <b/>
        <u/>
        <sz val="9"/>
        <color theme="1"/>
        <rFont val="Verdana"/>
        <family val="2"/>
      </rPr>
      <t>ends up in the solid fraction</t>
    </r>
    <r>
      <rPr>
        <b/>
        <sz val="9"/>
        <color theme="1"/>
        <rFont val="Verdana"/>
        <family val="2"/>
      </rPr>
      <t xml:space="preserve"> after separation</t>
    </r>
  </si>
  <si>
    <r>
      <rPr>
        <sz val="9"/>
        <color theme="1"/>
        <rFont val="Verdana"/>
        <family val="2"/>
      </rPr>
      <t xml:space="preserve">One recovery rate for all types of digestate: </t>
    </r>
    <r>
      <rPr>
        <b/>
        <sz val="9"/>
        <color theme="1"/>
        <rFont val="Verdana"/>
        <family val="2"/>
      </rPr>
      <t xml:space="preserve">% from the digestate that </t>
    </r>
    <r>
      <rPr>
        <b/>
        <u/>
        <sz val="9"/>
        <color theme="1"/>
        <rFont val="Verdana"/>
        <family val="2"/>
      </rPr>
      <t>ends up in the solid fraction</t>
    </r>
    <r>
      <rPr>
        <b/>
        <sz val="9"/>
        <color theme="1"/>
        <rFont val="Verdana"/>
        <family val="2"/>
      </rPr>
      <t xml:space="preserve"> after separation</t>
    </r>
  </si>
  <si>
    <r>
      <rPr>
        <sz val="9"/>
        <color theme="1"/>
        <rFont val="Verdana"/>
        <family val="2"/>
      </rPr>
      <t xml:space="preserve">One recovery rate for all types of digestate: </t>
    </r>
    <r>
      <rPr>
        <b/>
        <sz val="9"/>
        <color theme="1"/>
        <rFont val="Verdana"/>
        <family val="2"/>
      </rPr>
      <t xml:space="preserve">% from the digestate that </t>
    </r>
    <r>
      <rPr>
        <b/>
        <u/>
        <sz val="9"/>
        <color theme="1"/>
        <rFont val="Verdana"/>
        <family val="2"/>
      </rPr>
      <t>ends up in the solid fraction</t>
    </r>
    <r>
      <rPr>
        <b/>
        <sz val="9"/>
        <color theme="1"/>
        <rFont val="Verdana"/>
        <family val="2"/>
      </rPr>
      <t xml:space="preserve"> after separation</t>
    </r>
  </si>
  <si>
    <r>
      <rPr>
        <sz val="9"/>
        <color theme="1"/>
        <rFont val="Verdana"/>
        <family val="2"/>
      </rPr>
      <t xml:space="preserve">One recovery rate for all types of digestate: </t>
    </r>
    <r>
      <rPr>
        <b/>
        <sz val="9"/>
        <color theme="1"/>
        <rFont val="Verdana"/>
        <family val="2"/>
      </rPr>
      <t xml:space="preserve">% from the digestate that </t>
    </r>
    <r>
      <rPr>
        <b/>
        <u/>
        <sz val="9"/>
        <color theme="1"/>
        <rFont val="Verdana"/>
        <family val="2"/>
      </rPr>
      <t>ends up in the solid fraction</t>
    </r>
    <r>
      <rPr>
        <b/>
        <sz val="9"/>
        <color theme="1"/>
        <rFont val="Verdana"/>
        <family val="2"/>
      </rPr>
      <t xml:space="preserve"> after separation</t>
    </r>
  </si>
  <si>
    <r>
      <rPr>
        <sz val="9"/>
        <color theme="1"/>
        <rFont val="Verdana"/>
        <family val="2"/>
      </rPr>
      <t xml:space="preserve">One recovery rate for all types of digestate: </t>
    </r>
    <r>
      <rPr>
        <b/>
        <sz val="9"/>
        <color theme="1"/>
        <rFont val="Verdana"/>
        <family val="2"/>
      </rPr>
      <t xml:space="preserve">% from the digestate that </t>
    </r>
    <r>
      <rPr>
        <b/>
        <u/>
        <sz val="9"/>
        <color theme="1"/>
        <rFont val="Verdana"/>
        <family val="2"/>
      </rPr>
      <t>ends up in the solid fraction</t>
    </r>
    <r>
      <rPr>
        <b/>
        <sz val="9"/>
        <color theme="1"/>
        <rFont val="Verdana"/>
        <family val="2"/>
      </rPr>
      <t xml:space="preserve"> after separation</t>
    </r>
  </si>
  <si>
    <t>permeate</t>
  </si>
  <si>
    <t>Liquid fraction</t>
  </si>
  <si>
    <t>evaporation</t>
  </si>
  <si>
    <t>MgCl2</t>
  </si>
  <si>
    <t>Mass</t>
  </si>
  <si>
    <t>g/mol</t>
  </si>
  <si>
    <t>Decanter centrifuge</t>
  </si>
  <si>
    <t>Without additive</t>
  </si>
  <si>
    <t>Water (g)</t>
  </si>
  <si>
    <t>Total DM (g)</t>
  </si>
  <si>
    <t>DM (inorg) (g)</t>
  </si>
  <si>
    <t>DM (inorg, susp) (g)</t>
  </si>
  <si>
    <t>DM (inorg, diss) (g)</t>
  </si>
  <si>
    <t>DM (org) (g)</t>
  </si>
  <si>
    <t>DM (org, susp) (g)</t>
  </si>
  <si>
    <t>DM (org, diss) (g)</t>
  </si>
  <si>
    <t>N total (g)</t>
  </si>
  <si>
    <t>N (inorg) (g)</t>
  </si>
  <si>
    <t>N (inorg, susp) (g)</t>
  </si>
  <si>
    <t>N (inorg, diss) (g)</t>
  </si>
  <si>
    <t>N (org) (g)</t>
  </si>
  <si>
    <t>N (org, susp) (g)</t>
  </si>
  <si>
    <t>N (org, diss) (g)</t>
  </si>
  <si>
    <t>Ptotal (g)</t>
  </si>
  <si>
    <t>P (inorg) (g)</t>
  </si>
  <si>
    <t>P (inorg, susp) (g)</t>
  </si>
  <si>
    <t>P (inorg, diss) (g)</t>
  </si>
  <si>
    <t>P (org) (g)</t>
  </si>
  <si>
    <t>P (org, susp) (g)</t>
  </si>
  <si>
    <t>P (org, diss) (g)</t>
  </si>
  <si>
    <t>K total (g)</t>
  </si>
  <si>
    <t>K (inorg) (g)</t>
  </si>
  <si>
    <t>K (inorg, susp) (g)</t>
  </si>
  <si>
    <t>K (inorg, diss) (g)</t>
  </si>
  <si>
    <t>kg/l</t>
  </si>
  <si>
    <t>g/L</t>
  </si>
  <si>
    <t>Centrifuge, screw press, belt press</t>
  </si>
  <si>
    <t>Calculation concentration polymer added to digestate</t>
  </si>
  <si>
    <t>DM%</t>
  </si>
  <si>
    <t>DM (kg/ton)</t>
  </si>
  <si>
    <t>kg PM/ton DM</t>
  </si>
  <si>
    <t>kg PM/ton dig</t>
  </si>
  <si>
    <t>g PM/L solution</t>
  </si>
  <si>
    <t>L/ton digestaat</t>
  </si>
  <si>
    <t>price (€/kg)</t>
  </si>
  <si>
    <t>price (€/kg solution)</t>
  </si>
  <si>
    <r>
      <rPr>
        <sz val="8"/>
        <color theme="1"/>
        <rFont val="Verdana"/>
        <family val="2"/>
      </rPr>
      <t xml:space="preserve"> </t>
    </r>
    <r>
      <rPr>
        <sz val="8"/>
        <color rgb="FFFF0000"/>
        <rFont val="Verdana"/>
        <family val="2"/>
      </rPr>
      <t>Zeer variabel, grootteorde 0.1-0.2kg polymeer /ton digestaat (vers materiaal)</t>
    </r>
  </si>
  <si>
    <t>powder polymer solution</t>
  </si>
  <si>
    <r>
      <t>Fe</t>
    </r>
    <r>
      <rPr>
        <vertAlign val="subscript"/>
        <sz val="6.5"/>
        <color theme="1"/>
        <rFont val="Verdana"/>
        <family val="2"/>
      </rPr>
      <t>2</t>
    </r>
    <r>
      <rPr>
        <sz val="6.5"/>
        <color theme="1"/>
        <rFont val="Verdana"/>
        <family val="2"/>
      </rPr>
      <t>(SO</t>
    </r>
    <r>
      <rPr>
        <vertAlign val="subscript"/>
        <sz val="6.5"/>
        <color theme="1"/>
        <rFont val="Verdana"/>
        <family val="2"/>
      </rPr>
      <t>4</t>
    </r>
    <r>
      <rPr>
        <sz val="6.5"/>
        <color theme="1"/>
        <rFont val="Verdana"/>
        <family val="2"/>
      </rPr>
      <t>)</t>
    </r>
    <r>
      <rPr>
        <vertAlign val="subscript"/>
        <sz val="6.5"/>
        <color theme="1"/>
        <rFont val="Verdana"/>
        <family val="2"/>
      </rPr>
      <t>3</t>
    </r>
  </si>
  <si>
    <t>L solution/m³ digestate</t>
  </si>
  <si>
    <t>g PM/L solution - kg/m³</t>
  </si>
  <si>
    <t>% solution</t>
  </si>
  <si>
    <t>g PM/m³ digestate</t>
  </si>
  <si>
    <t>concentration solution (%)</t>
  </si>
  <si>
    <t>Polymer solution</t>
  </si>
  <si>
    <t>€/kg powder PM</t>
  </si>
  <si>
    <t>€/m³ digestate</t>
  </si>
  <si>
    <t>Fe2SO43</t>
  </si>
  <si>
    <t>€/kg FeSO4 40%</t>
  </si>
  <si>
    <t>€/kg MgCl2 32%</t>
  </si>
  <si>
    <t>€/kg FeCl3 40%</t>
  </si>
  <si>
    <t>antifoam</t>
  </si>
  <si>
    <t>€/kg antifoam</t>
  </si>
  <si>
    <t>€/kg H2SO4 96%</t>
  </si>
  <si>
    <t>(kg/l)</t>
  </si>
  <si>
    <t>kg solution/m³ digestate</t>
  </si>
  <si>
    <t>density FeSO4 40%</t>
  </si>
  <si>
    <t>GZV</t>
  </si>
  <si>
    <t>Rapport_massabalansen_MMM_werkversie_20-07-2021</t>
  </si>
  <si>
    <t>Vlak voor de DAF wordt 10 ml antischuimmiddel per ton influent van de DAF toegevoegd</t>
  </si>
  <si>
    <t>0.063 kg PM/ton input</t>
  </si>
  <si>
    <t>N stripping-scrubbing</t>
  </si>
  <si>
    <t>80°C, pH7,8</t>
  </si>
  <si>
    <t>N-scrubbing</t>
  </si>
  <si>
    <t>anti-foam</t>
  </si>
  <si>
    <t>evap</t>
  </si>
  <si>
    <t>scrubbing</t>
  </si>
  <si>
    <t>RO (CIP)</t>
  </si>
  <si>
    <t>RO (acidif)</t>
  </si>
  <si>
    <t>€/kg H2SO4 37%</t>
  </si>
  <si>
    <t>€/kg NaOH 30%</t>
  </si>
  <si>
    <t>Condensate</t>
  </si>
  <si>
    <t>Concentrate</t>
  </si>
  <si>
    <t>Wat is de capaciteit van de ionenwisselaar(s): …m³/h of …m³/dag</t>
  </si>
  <si>
    <t>Klopt de volgende vereenvoudiging?</t>
  </si>
  <si>
    <t>In 2019: regeneratie ionenwisselaars om de 100m³ RO permeate</t>
  </si>
  <si>
    <t>10 m³ regeneratiewater = 1L H2SO4 (96%) + 2L NaOH (50%) + 9.997 L schoon spoelwater</t>
  </si>
  <si>
    <t>In 2021: regeneratie ionenwisselaars om de 120m³ RO permeate</t>
  </si>
  <si>
    <t>Wat de maximale capaciteit is weet ik niet. Ik weet wel hoeveel m3 er gemiddeld per dag doorheen gaat. Dat is ongeveer 50 m3 per dag en hij draait praktisch 24 uur per dag.</t>
  </si>
  <si>
    <t>Je vereenvoudiging klopt inderdaad.</t>
  </si>
  <si>
    <t>In 2019 werd ongeveer elke 100 m3 RO-permeaat dat door de ionenwisselaars heenstroomde geregeneerd (dus elke 100 m3 ingaand water resulteerde dan in 110 m3 gezuiverd water + regeneratiewater).</t>
  </si>
  <si>
    <t>GZV verbruikt per keer regenereren 1 L zwavelzuur (96%) en 2 L natronloog (50%). Het overgrote deel van het volume aan geproduceerd regeneratiewater is toegevoegd schoon spoelwater.</t>
  </si>
  <si>
    <t>Gebaseerd op het gemiddelde van februari t/m half mei 2021 wordt er (aannemende dat er nog steeds 10 m3 regeneratiewater per keer regenereren ontstaat) ongeveer elke 130 m3 influent van de ionenwisselaar geregeneerd.</t>
  </si>
  <si>
    <t>Ik had eigenlijk verwacht dat dit veel hoger zou zijn (op basis van wat GZV me verteld had) maar het valt dus erg tegen.</t>
  </si>
  <si>
    <t>AM-Power</t>
  </si>
  <si>
    <r>
      <t xml:space="preserve">100% produced distillate </t>
    </r>
    <r>
      <rPr>
        <sz val="11"/>
        <color theme="1"/>
        <rFont val="Wingdings"/>
        <charset val="2"/>
      </rPr>
      <t>à</t>
    </r>
    <r>
      <rPr>
        <sz val="11"/>
        <color theme="1"/>
        <rFont val="Calibri"/>
        <family val="2"/>
      </rPr>
      <t xml:space="preserve"> RO</t>
    </r>
  </si>
  <si>
    <r>
      <t>à</t>
    </r>
    <r>
      <rPr>
        <sz val="11"/>
        <color theme="1"/>
        <rFont val="Calibri"/>
        <family val="2"/>
      </rPr>
      <t>75% dischargeble water</t>
    </r>
  </si>
  <si>
    <r>
      <t>à</t>
    </r>
    <r>
      <rPr>
        <sz val="11"/>
        <color theme="1"/>
        <rFont val="Calibri"/>
        <family val="2"/>
      </rPr>
      <t>25% concentrate</t>
    </r>
  </si>
  <si>
    <t>Dischargeble water:</t>
  </si>
  <si>
    <t>10 – 15 m3 for polymer</t>
  </si>
  <si>
    <r>
      <t xml:space="preserve">5 m3 cleaning activities </t>
    </r>
    <r>
      <rPr>
        <sz val="11"/>
        <color theme="1"/>
        <rFont val="Wingdings"/>
        <charset val="2"/>
      </rPr>
      <t>à</t>
    </r>
    <r>
      <rPr>
        <sz val="11"/>
        <color theme="1"/>
        <rFont val="Calibri"/>
        <family val="2"/>
      </rPr>
      <t xml:space="preserve"> The water used to flush out the load goes with the organic waste streams. The wash water (+rain water) that lands on the concrete pavement is pumped up and mixed with the liquid fraction.</t>
    </r>
  </si>
  <si>
    <t>Concentrate:</t>
  </si>
  <si>
    <t>Still a question. Partly liquid fraction, partly evaporater…,</t>
  </si>
  <si>
    <t>kg/ton digestate</t>
  </si>
  <si>
    <r>
      <rPr>
        <sz val="5"/>
        <color rgb="FF202124"/>
        <rFont val="Arial"/>
        <family val="2"/>
      </rPr>
      <t>1 mmol (0.001 mol) of Na</t>
    </r>
    <r>
      <rPr>
        <vertAlign val="superscript"/>
        <sz val="11"/>
        <color rgb="FF202124"/>
        <rFont val="Arial"/>
        <family val="2"/>
      </rPr>
      <t>+</t>
    </r>
    <r>
      <rPr>
        <sz val="5"/>
        <color rgb="FF202124"/>
        <rFont val="Arial"/>
        <family val="2"/>
      </rPr>
      <t> is equal 1 meq, while 1 mmol of Ca</t>
    </r>
    <r>
      <rPr>
        <vertAlign val="superscript"/>
        <sz val="11"/>
        <color rgb="FF202124"/>
        <rFont val="Arial"/>
        <family val="2"/>
      </rPr>
      <t>++</t>
    </r>
    <r>
      <rPr>
        <sz val="5"/>
        <color rgb="FF202124"/>
        <rFont val="Arial"/>
        <family val="2"/>
      </rPr>
      <t> is equal 2 meq.</t>
    </r>
  </si>
  <si>
    <t>zuurcorrectiefactor</t>
  </si>
  <si>
    <t>CaOH2</t>
  </si>
  <si>
    <t>solid</t>
  </si>
  <si>
    <t>liquid</t>
  </si>
  <si>
    <t xml:space="preserve">Base </t>
  </si>
  <si>
    <t>SF1</t>
  </si>
  <si>
    <t>low buffer</t>
  </si>
  <si>
    <t>high buffer</t>
  </si>
  <si>
    <t>low</t>
  </si>
  <si>
    <t>high</t>
  </si>
  <si>
    <t>correctie</t>
  </si>
  <si>
    <t>Precovery</t>
  </si>
  <si>
    <t>(-)</t>
  </si>
  <si>
    <t>meq H+/kg</t>
  </si>
  <si>
    <t>kg S/ton</t>
  </si>
  <si>
    <t>kg Ca/ton</t>
  </si>
  <si>
    <t>meq H+/kg solid fr</t>
  </si>
  <si>
    <t>CHECK</t>
  </si>
  <si>
    <t>mg P/kg</t>
  </si>
  <si>
    <t>stdev</t>
  </si>
  <si>
    <t>meq OH-/kg solid fraction</t>
  </si>
  <si>
    <t>A solid fraction – demi water (included acid) ratio of 2 (w/v) was used. After lowering and stabilisation of the pH, samples were centrifuged at 3500 rpm during 10 minutes and thereafter the ortho-P concentration was measured in the supernatant.</t>
  </si>
  <si>
    <t>D1</t>
  </si>
  <si>
    <t>D2</t>
  </si>
  <si>
    <t>D3</t>
  </si>
  <si>
    <t>D4</t>
  </si>
  <si>
    <t>D5</t>
  </si>
  <si>
    <t>D6</t>
  </si>
  <si>
    <t>D7</t>
  </si>
  <si>
    <t>D8</t>
  </si>
  <si>
    <t>factor release</t>
  </si>
  <si>
    <t>mg P/kg solid fr</t>
  </si>
  <si>
    <t>end pH</t>
  </si>
  <si>
    <t>P recovery(%)</t>
  </si>
  <si>
    <t>meq H+/kg solid fraction</t>
  </si>
  <si>
    <t>L/ton SF</t>
  </si>
  <si>
    <t>kg/ton SF</t>
  </si>
  <si>
    <t>Lamella clarifier</t>
  </si>
  <si>
    <t>Sedimentation and filter bags</t>
  </si>
  <si>
    <t>@20°C, pH8</t>
  </si>
  <si>
    <t>acidification to pH 8</t>
  </si>
  <si>
    <r>
      <t>kg/</t>
    </r>
    <r>
      <rPr>
        <sz val="11"/>
        <color rgb="FFFF0000"/>
        <rFont val="Calibri"/>
        <family val="2"/>
      </rPr>
      <t>ton SF</t>
    </r>
  </si>
  <si>
    <t>average</t>
  </si>
  <si>
    <t xml:space="preserve">P(inorg,diss) increases with factor </t>
  </si>
  <si>
    <t>start pH</t>
  </si>
  <si>
    <t>ortho-P (mg P/kg solid fr)</t>
  </si>
  <si>
    <t>1:1 diluted SF + acidification</t>
  </si>
  <si>
    <t>Concentration ortho-P  Initial SF</t>
  </si>
  <si>
    <t>release from P (org, susp)</t>
  </si>
  <si>
    <t>Fig 5.3</t>
  </si>
  <si>
    <t xml:space="preserve">Fig </t>
  </si>
  <si>
    <t>Ca(OH)2 solution</t>
  </si>
  <si>
    <t>% of P (inorg,diss) recovery as Ca(PO4)2</t>
  </si>
  <si>
    <t>mol Ca(OH)2/ton solid fraction</t>
  </si>
  <si>
    <t>Air drying</t>
  </si>
  <si>
    <t>Dried Ca-P salts sludge</t>
  </si>
  <si>
    <t>air + water vapour</t>
  </si>
  <si>
    <t>Solids</t>
  </si>
  <si>
    <t>Mineral concentrate</t>
  </si>
  <si>
    <t>CIP 0,11-0,22€/m³</t>
  </si>
  <si>
    <t>CIP 0,88€/m³</t>
  </si>
  <si>
    <t>som CIP</t>
  </si>
  <si>
    <t>10m³ per 100m³ RO permeate</t>
  </si>
  <si>
    <t>1L H2SO4 96%; 2L NaOH(50%) + 9997 Lclean water</t>
  </si>
  <si>
    <t>10m³ per 120m³ RO permeate</t>
  </si>
  <si>
    <t>spoelwater</t>
  </si>
  <si>
    <t>€/kg NaOH 50%</t>
  </si>
  <si>
    <t>l</t>
  </si>
  <si>
    <t>1L H2SO4 96%; 2L NaOH(50%) per 100m³ RO input</t>
  </si>
  <si>
    <t>Purified water</t>
  </si>
  <si>
    <t>permeate RO</t>
  </si>
  <si>
    <t>A' west</t>
  </si>
  <si>
    <t>g/kg dig</t>
  </si>
  <si>
    <t>€/ton digestate</t>
  </si>
  <si>
    <t>€/ton</t>
  </si>
  <si>
    <t>kg PM/m³ digestate</t>
  </si>
  <si>
    <t>eq H+/kg DM</t>
  </si>
  <si>
    <t>eq H+/kg digestate (3%DM)</t>
  </si>
  <si>
    <t>g DM/kg digestate</t>
  </si>
  <si>
    <t>L/ton digestate</t>
  </si>
  <si>
    <t>density MgCl2 32%</t>
  </si>
  <si>
    <t>density FeCL3 40%</t>
  </si>
  <si>
    <t>density antifoam 100%</t>
  </si>
  <si>
    <t>density H2SO4 96%</t>
  </si>
  <si>
    <t>density H2SO4 37%</t>
  </si>
  <si>
    <t>density NaOH 30%</t>
  </si>
  <si>
    <t>density NaOH 50%</t>
  </si>
  <si>
    <t>Fill in boxes</t>
  </si>
  <si>
    <t>Calculated concentration</t>
  </si>
  <si>
    <t>mass (kg/year)</t>
  </si>
  <si>
    <r>
      <t>Separation efficiency (%)</t>
    </r>
    <r>
      <rPr>
        <b/>
        <sz val="14"/>
        <color rgb="FF000000"/>
        <rFont val="Verdana"/>
        <family val="2"/>
      </rPr>
      <t xml:space="preserve"> to Liquid Fraction</t>
    </r>
  </si>
  <si>
    <t>Input</t>
  </si>
  <si>
    <t>Additive/no additive</t>
  </si>
  <si>
    <t>g powder polymer/L water</t>
  </si>
  <si>
    <r>
      <t xml:space="preserve">Separation efficiency (%) </t>
    </r>
    <r>
      <rPr>
        <b/>
        <sz val="14"/>
        <color rgb="FF000000"/>
        <rFont val="Verdana"/>
        <family val="2"/>
      </rPr>
      <t>to Solid Fraction</t>
    </r>
  </si>
  <si>
    <t>g FeCl3/L solution</t>
  </si>
  <si>
    <t>Composition input (e.g. digestate)</t>
  </si>
  <si>
    <t>g Fe2(SO4)3/L solution</t>
  </si>
  <si>
    <t>g MgCl2/L solution</t>
  </si>
  <si>
    <t>Dissolved Air Flotation (DAF)</t>
  </si>
  <si>
    <t>Composition input (e.g. liquid fraction after separation)</t>
  </si>
  <si>
    <r>
      <t xml:space="preserve">Recovery rate (%) </t>
    </r>
    <r>
      <rPr>
        <b/>
        <sz val="14"/>
        <color rgb="FF000000"/>
        <rFont val="Verdana"/>
        <family val="2"/>
      </rPr>
      <t>to initital Ammonium sulphate solution</t>
    </r>
  </si>
  <si>
    <r>
      <t xml:space="preserve">Recovery rate (%) </t>
    </r>
    <r>
      <rPr>
        <b/>
        <sz val="14"/>
        <color rgb="FF000000"/>
        <rFont val="Verdana"/>
        <family val="2"/>
      </rPr>
      <t>to initital N stripped input</t>
    </r>
  </si>
  <si>
    <t xml:space="preserve"> initital Ammonium sulphate solution</t>
  </si>
  <si>
    <t>Diluted ammonium salt solution</t>
  </si>
  <si>
    <t>N stripped input</t>
  </si>
  <si>
    <t>g H2SO4/L solution</t>
  </si>
  <si>
    <t>NH4-N scrubbing</t>
  </si>
  <si>
    <t>water for dilution needed</t>
  </si>
  <si>
    <t>(NH4)2SO4 concentration initial Ammonium sulphate solution</t>
  </si>
  <si>
    <t>g (NH4)2SO4 / kg</t>
  </si>
  <si>
    <r>
      <t xml:space="preserve">when concentration (NH4)2SO4 </t>
    </r>
    <r>
      <rPr>
        <sz val="14"/>
        <color rgb="FFFF0000"/>
        <rFont val="Arial"/>
        <family val="2"/>
      </rPr>
      <t>&gt;380g / kg</t>
    </r>
  </si>
  <si>
    <t>Molar mass (g/mol)</t>
  </si>
  <si>
    <t>Maximum value for (NH4)2SO4 concentration in Ammonium sulphate solution</t>
  </si>
  <si>
    <r>
      <t xml:space="preserve">Recovery rate (%) </t>
    </r>
    <r>
      <rPr>
        <b/>
        <sz val="14"/>
        <color rgb="FF000000"/>
        <rFont val="Verdana"/>
        <family val="2"/>
      </rPr>
      <t>to N/Ca solution</t>
    </r>
  </si>
  <si>
    <t>N/Ca solution</t>
  </si>
  <si>
    <t>Wet FGD Gypsum (CaSO4.2H2O)</t>
  </si>
  <si>
    <t>DM (g/kg)</t>
  </si>
  <si>
    <t>OM (g/kg)</t>
  </si>
  <si>
    <t>N total (g/kg)</t>
  </si>
  <si>
    <t>P total (g/kg)</t>
  </si>
  <si>
    <t>S total  (g/kg)</t>
  </si>
  <si>
    <t>K total (g/kg)</t>
  </si>
  <si>
    <t>Ca total (g/kg)</t>
  </si>
  <si>
    <t>Mg total (g/kg)</t>
  </si>
  <si>
    <r>
      <t>NH</t>
    </r>
    <r>
      <rPr>
        <vertAlign val="subscript"/>
        <sz val="14"/>
        <color theme="1"/>
        <rFont val="Verdana"/>
        <family val="2"/>
      </rPr>
      <t>4</t>
    </r>
    <r>
      <rPr>
        <sz val="14"/>
        <color theme="1"/>
        <rFont val="Verdana"/>
        <family val="2"/>
      </rPr>
      <t>-N  (g/kg)</t>
    </r>
  </si>
  <si>
    <t>80°C, pH 7,8</t>
  </si>
  <si>
    <t>Filter press</t>
  </si>
  <si>
    <r>
      <t xml:space="preserve">Recovery rate (%) </t>
    </r>
    <r>
      <rPr>
        <b/>
        <sz val="14"/>
        <color rgb="FF000000"/>
        <rFont val="Verdana"/>
        <family val="2"/>
      </rPr>
      <t>to Ammonium sulphate solution</t>
    </r>
  </si>
  <si>
    <r>
      <t xml:space="preserve">Recovery rate (%) </t>
    </r>
    <r>
      <rPr>
        <b/>
        <sz val="14"/>
        <color rgb="FF000000"/>
        <rFont val="Verdana"/>
        <family val="2"/>
      </rPr>
      <t>to Calciumcarbonate</t>
    </r>
  </si>
  <si>
    <t>Ammonium sulphate solution</t>
  </si>
  <si>
    <t>Calciumcarbonate</t>
  </si>
  <si>
    <t>L/ton input</t>
  </si>
  <si>
    <t>Total water content</t>
  </si>
  <si>
    <t xml:space="preserve">Total Dry matter or total solids </t>
  </si>
  <si>
    <t>Total inorganic dry matter, inorganic salts, ash or non-volatile solids</t>
  </si>
  <si>
    <t>Insoluble/suspended inorganic dry matter, inorganic salts, ash or non-volatile solids</t>
  </si>
  <si>
    <t>Dissolved inorganic dry matter, inorganic salts, ash or non-volatile solids e.g. ions, minerals</t>
  </si>
  <si>
    <t>DM (org)</t>
  </si>
  <si>
    <t>Total organic dry matter, organic matter, total volatile solids</t>
  </si>
  <si>
    <t>Insoluble/suspended organic dry matter, organic material, volatile solids</t>
  </si>
  <si>
    <t>Dissolved organic dry matter, organic material, volatile solids organic compounds, e.g. BOD, COD</t>
  </si>
  <si>
    <t xml:space="preserve">Total nitrogen </t>
  </si>
  <si>
    <t>N (inorg)</t>
  </si>
  <si>
    <t>Total inorganic nitrogen, nitrogen salts</t>
  </si>
  <si>
    <t>Insoluble/suspended N salts</t>
  </si>
  <si>
    <r>
      <t>Organic nitrogen, Kjeldahl Nitrogen – NH</t>
    </r>
    <r>
      <rPr>
        <vertAlign val="subscript"/>
        <sz val="8.5"/>
        <color rgb="FF000000"/>
        <rFont val="Verdana"/>
        <family val="2"/>
      </rPr>
      <t>4</t>
    </r>
    <r>
      <rPr>
        <vertAlign val="superscript"/>
        <sz val="8.5"/>
        <color rgb="FF000000"/>
        <rFont val="Verdana"/>
        <family val="2"/>
      </rPr>
      <t>+</t>
    </r>
  </si>
  <si>
    <t>Suspended organic nitrogen, e.g. humic acids</t>
  </si>
  <si>
    <t>Dissolved organic nitrogen, e.g. uric acid and amino acids, proteins</t>
  </si>
  <si>
    <t>P total</t>
  </si>
  <si>
    <t>Total phosphorus</t>
  </si>
  <si>
    <t>P (inorg)</t>
  </si>
  <si>
    <t>Total inorganic phosphorus, phosphorus salts</t>
  </si>
  <si>
    <t>Insoluble/suspended inorganic phosphorus salts, e.g. struvites, hydroxyl-/ chloro-apatite or as tricalcium phosphate or phosphorus bound to metals</t>
  </si>
  <si>
    <r>
      <t>Dissolved inorganic phosphorus, mineral phosphorus, ortho-phoshates, e.g. H</t>
    </r>
    <r>
      <rPr>
        <vertAlign val="subscript"/>
        <sz val="8.5"/>
        <color rgb="FF000000"/>
        <rFont val="Verdana"/>
        <family val="2"/>
      </rPr>
      <t>2</t>
    </r>
    <r>
      <rPr>
        <sz val="8.5"/>
        <color rgb="FF000000"/>
        <rFont val="Verdana"/>
        <family val="2"/>
      </rPr>
      <t>PO</t>
    </r>
    <r>
      <rPr>
        <vertAlign val="subscript"/>
        <sz val="8.5"/>
        <color rgb="FF000000"/>
        <rFont val="Verdana"/>
        <family val="2"/>
      </rPr>
      <t>4</t>
    </r>
    <r>
      <rPr>
        <sz val="8.5"/>
        <color rgb="FF000000"/>
        <rFont val="Verdana"/>
        <family val="2"/>
      </rPr>
      <t>−, HPO</t>
    </r>
    <r>
      <rPr>
        <vertAlign val="subscript"/>
        <sz val="8.5"/>
        <color rgb="FF000000"/>
        <rFont val="Verdana"/>
        <family val="2"/>
      </rPr>
      <t>4</t>
    </r>
    <r>
      <rPr>
        <vertAlign val="superscript"/>
        <sz val="8.5"/>
        <color rgb="FF000000"/>
        <rFont val="Verdana"/>
        <family val="2"/>
      </rPr>
      <t>2−</t>
    </r>
    <r>
      <rPr>
        <sz val="8.5"/>
        <color rgb="FF000000"/>
        <rFont val="Verdana"/>
        <family val="2"/>
      </rPr>
      <t>, and PO</t>
    </r>
    <r>
      <rPr>
        <vertAlign val="subscript"/>
        <sz val="8.5"/>
        <color rgb="FF000000"/>
        <rFont val="Verdana"/>
        <family val="2"/>
      </rPr>
      <t>4</t>
    </r>
    <r>
      <rPr>
        <vertAlign val="superscript"/>
        <sz val="8.5"/>
        <color rgb="FF000000"/>
        <rFont val="Verdana"/>
        <family val="2"/>
      </rPr>
      <t>3−</t>
    </r>
    <r>
      <rPr>
        <sz val="8.5"/>
        <color rgb="FF000000"/>
        <rFont val="Verdana"/>
        <family val="2"/>
      </rPr>
      <t xml:space="preserve"> soluble ions and dissolved salts</t>
    </r>
  </si>
  <si>
    <t>Organic phosphorus</t>
  </si>
  <si>
    <t>Suspended organic phosphorus, P complexed in or bound to organic matter</t>
  </si>
  <si>
    <t>Dissolved organic phosphorus, P bound to organic compounds that are small enough to be regarded as soluble</t>
  </si>
  <si>
    <t>Total potassium</t>
  </si>
  <si>
    <t>Inorganic potassium</t>
  </si>
  <si>
    <t>Struvites, insoluble inorganic K salts</t>
  </si>
  <si>
    <t>Dissolved inorganic potassium, e.g. soluble K salts, K-ions</t>
  </si>
  <si>
    <t>Organic potassium</t>
  </si>
  <si>
    <t>Suspended organic potassium, K complexed in or bound to organic matter</t>
  </si>
  <si>
    <t>Dissolved organic potassium, k bound to organic compounds that are small enough to be regarded as soluble</t>
  </si>
  <si>
    <t>In the NUTRICAS Tool, these parameters are considered as negligible.</t>
  </si>
  <si>
    <r>
      <t>Dissolved inorganic nitrogen, mineral nitrogen, e.g. NH</t>
    </r>
    <r>
      <rPr>
        <vertAlign val="subscript"/>
        <sz val="8.5"/>
        <color rgb="FF000000"/>
        <rFont val="Verdana"/>
        <family val="2"/>
      </rPr>
      <t>4</t>
    </r>
    <r>
      <rPr>
        <sz val="8.5"/>
        <color rgb="FF000000"/>
        <rFont val="Verdana"/>
        <family val="2"/>
      </rPr>
      <t>-N, NO</t>
    </r>
    <r>
      <rPr>
        <vertAlign val="subscript"/>
        <sz val="8.5"/>
        <color rgb="FF000000"/>
        <rFont val="Verdana"/>
        <family val="2"/>
      </rPr>
      <t>3</t>
    </r>
    <r>
      <rPr>
        <sz val="8.5"/>
        <color rgb="FF000000"/>
        <rFont val="Verdana"/>
        <family val="2"/>
      </rPr>
      <t>-N, NO</t>
    </r>
    <r>
      <rPr>
        <vertAlign val="subscript"/>
        <sz val="8.5"/>
        <color rgb="FF000000"/>
        <rFont val="Verdana"/>
        <family val="2"/>
      </rPr>
      <t>2</t>
    </r>
    <r>
      <rPr>
        <sz val="8.5"/>
        <color rgb="FF000000"/>
        <rFont val="Verdana"/>
        <family val="2"/>
      </rPr>
      <t xml:space="preserve">-N. </t>
    </r>
    <r>
      <rPr>
        <b/>
        <sz val="8.5"/>
        <color rgb="FF000000"/>
        <rFont val="Verdana"/>
        <family val="2"/>
      </rPr>
      <t>In the NUTRICAS Tool, NH4-N is assumed to be N (inorg, diss). NO3-N and NO2-N are not taken into account here, because they are rarely measured in feedstocks and digestate.</t>
    </r>
  </si>
  <si>
    <t>Composition input (e.g. solid fraction)</t>
  </si>
  <si>
    <t>(Diluted), acidified input, pH 5</t>
  </si>
  <si>
    <t>kg/ton input</t>
  </si>
  <si>
    <t>dilution</t>
  </si>
  <si>
    <t>L dilution water / ton solid fraction</t>
  </si>
  <si>
    <r>
      <t xml:space="preserve">Recovery rate (%) </t>
    </r>
    <r>
      <rPr>
        <b/>
        <sz val="14"/>
        <color rgb="FF000000"/>
        <rFont val="Verdana"/>
        <family val="2"/>
      </rPr>
      <t>to Liquid fraction</t>
    </r>
  </si>
  <si>
    <t>Acidification causes</t>
  </si>
  <si>
    <t>of P(org,susp) to become P(inorg,diss)</t>
  </si>
  <si>
    <t>Low-P soil improver</t>
  </si>
  <si>
    <r>
      <t xml:space="preserve">Recovery rate (%) </t>
    </r>
    <r>
      <rPr>
        <b/>
        <sz val="14"/>
        <color rgb="FF000000"/>
        <rFont val="Verdana"/>
        <family val="2"/>
      </rPr>
      <t>to Low-P soil improver</t>
    </r>
  </si>
  <si>
    <r>
      <t xml:space="preserve">Recovery rate (%) </t>
    </r>
    <r>
      <rPr>
        <b/>
        <sz val="14"/>
        <color rgb="FF000000"/>
        <rFont val="Verdana"/>
        <family val="2"/>
      </rPr>
      <t>to Ca(SO4)2 sludge</t>
    </r>
  </si>
  <si>
    <r>
      <t xml:space="preserve">Recovery rate (%) </t>
    </r>
    <r>
      <rPr>
        <b/>
        <sz val="14"/>
        <color rgb="FF000000"/>
        <rFont val="Verdana"/>
        <family val="2"/>
      </rPr>
      <t>to Ca-P salts sludge</t>
    </r>
  </si>
  <si>
    <t>g/L Ca(OH)2 solution</t>
  </si>
  <si>
    <r>
      <t xml:space="preserve">Recovery rate (%) </t>
    </r>
    <r>
      <rPr>
        <b/>
        <sz val="14"/>
        <color rgb="FF000000"/>
        <rFont val="Verdana"/>
        <family val="2"/>
      </rPr>
      <t>to Dried Ca-P salts sludge</t>
    </r>
  </si>
  <si>
    <r>
      <t xml:space="preserve">Recovery rate (%) </t>
    </r>
    <r>
      <rPr>
        <b/>
        <sz val="14"/>
        <color rgb="FF000000"/>
        <rFont val="Verdana"/>
        <family val="2"/>
      </rPr>
      <t>to air + water vapour</t>
    </r>
  </si>
  <si>
    <r>
      <t xml:space="preserve">Recovery rate (%) </t>
    </r>
    <r>
      <rPr>
        <b/>
        <sz val="14"/>
        <color rgb="FF000000"/>
        <rFont val="Verdana"/>
        <family val="2"/>
      </rPr>
      <t>to Condensate</t>
    </r>
  </si>
  <si>
    <r>
      <t xml:space="preserve">Recovery rate (%) </t>
    </r>
    <r>
      <rPr>
        <b/>
        <sz val="14"/>
        <color rgb="FF000000"/>
        <rFont val="Verdana"/>
        <family val="2"/>
      </rPr>
      <t>to Concentrate</t>
    </r>
  </si>
  <si>
    <t>g anti-foam/L</t>
  </si>
  <si>
    <t>g H2SO4/L</t>
  </si>
  <si>
    <t>no acifdification</t>
  </si>
  <si>
    <t>acifdification to pH 6,5</t>
  </si>
  <si>
    <t>Dry matter maximum 40 g/kg</t>
  </si>
  <si>
    <t>Dry matter minimum 40 g/kg = no efficient evaporation</t>
  </si>
  <si>
    <t>Microfiltration</t>
  </si>
  <si>
    <r>
      <t xml:space="preserve">Recovery rate (%) </t>
    </r>
    <r>
      <rPr>
        <b/>
        <sz val="14"/>
        <color rgb="FF000000"/>
        <rFont val="Verdana"/>
        <family val="2"/>
      </rPr>
      <t>to Solids</t>
    </r>
  </si>
  <si>
    <r>
      <t xml:space="preserve">Recovery rate (%) to </t>
    </r>
    <r>
      <rPr>
        <b/>
        <sz val="14"/>
        <color rgb="FF000000"/>
        <rFont val="Verdana"/>
        <family val="2"/>
      </rPr>
      <t>liquid fraction</t>
    </r>
  </si>
  <si>
    <t>g NaOH/L</t>
  </si>
  <si>
    <r>
      <t xml:space="preserve">Recovery rate (%) to </t>
    </r>
    <r>
      <rPr>
        <b/>
        <sz val="14"/>
        <color rgb="FF000000"/>
        <rFont val="Verdana"/>
        <family val="2"/>
      </rPr>
      <t>mineral concentrate</t>
    </r>
  </si>
  <si>
    <r>
      <t xml:space="preserve">Recovery rate (%) to </t>
    </r>
    <r>
      <rPr>
        <b/>
        <sz val="14"/>
        <color rgb="FF000000"/>
        <rFont val="Verdana"/>
        <family val="2"/>
      </rPr>
      <t>permeate</t>
    </r>
  </si>
  <si>
    <t>CIP: Cleaning in place: a rinse of the membranes, mass does not end up in end products, but in 'rinse water'</t>
  </si>
  <si>
    <t>rinse water</t>
  </si>
  <si>
    <r>
      <t xml:space="preserve">Recovery rate (%) to </t>
    </r>
    <r>
      <rPr>
        <b/>
        <sz val="14"/>
        <color rgb="FF000000"/>
        <rFont val="Verdana"/>
        <family val="2"/>
      </rPr>
      <t>spent regenerant solution</t>
    </r>
  </si>
  <si>
    <t>Recovery rate (%) to purified water</t>
  </si>
  <si>
    <t>g /L</t>
  </si>
  <si>
    <t>Regeneration of ion exchange resins</t>
  </si>
  <si>
    <t>Spent regenerant solution</t>
  </si>
  <si>
    <t>sum rinse water+acid+base</t>
  </si>
  <si>
    <t>Composition input (e.g. LF  of digestate)</t>
  </si>
  <si>
    <t>Condensate after evaporation (no acidification) 80°C, pH7,8</t>
  </si>
  <si>
    <t>Composition input</t>
  </si>
  <si>
    <t>Evaporation of low DM input</t>
  </si>
  <si>
    <t>Reverse osmosis + active carbon</t>
  </si>
  <si>
    <r>
      <t xml:space="preserve">Condensate after evaporation </t>
    </r>
    <r>
      <rPr>
        <i/>
        <sz val="16"/>
        <color rgb="FFFF0000"/>
        <rFont val="Arial"/>
        <family val="2"/>
      </rPr>
      <t>(+ acidification)</t>
    </r>
    <r>
      <rPr>
        <i/>
        <sz val="16"/>
        <color theme="1"/>
        <rFont val="Arial"/>
        <family val="2"/>
      </rPr>
      <t xml:space="preserve"> 80°C, pH7,8--&gt;pH 6,5</t>
    </r>
  </si>
  <si>
    <r>
      <t xml:space="preserve">Evaporation of </t>
    </r>
    <r>
      <rPr>
        <i/>
        <sz val="12"/>
        <color rgb="FFFF0000"/>
        <rFont val="Arial"/>
        <family val="2"/>
      </rPr>
      <t>high DM</t>
    </r>
    <r>
      <rPr>
        <i/>
        <sz val="12"/>
        <color theme="1"/>
        <rFont val="Arial"/>
        <family val="2"/>
      </rPr>
      <t xml:space="preserve"> input</t>
    </r>
  </si>
  <si>
    <t>Composition input (e.g. solid fraction of digestate)</t>
  </si>
  <si>
    <t>Drying</t>
  </si>
  <si>
    <r>
      <t xml:space="preserve">Recovery rate (%) to </t>
    </r>
    <r>
      <rPr>
        <b/>
        <sz val="14"/>
        <color rgb="FF000000"/>
        <rFont val="Verdana"/>
        <family val="2"/>
      </rPr>
      <t>dried product</t>
    </r>
  </si>
  <si>
    <r>
      <t xml:space="preserve">Recovery rate (%) to </t>
    </r>
    <r>
      <rPr>
        <b/>
        <sz val="14"/>
        <color rgb="FF000000"/>
        <rFont val="Verdana"/>
        <family val="2"/>
      </rPr>
      <t>water vapour</t>
    </r>
  </si>
  <si>
    <t>Dried product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</si>
</sst>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 #,##0.00_ ;_ * \-#,##0.00_ ;_ * &quot;-&quot;??_ ;_ @_ "/>
    <numFmt numFmtId="164" formatCode="0.0"/>
    <numFmt numFmtId="165" formatCode="0.000"/>
    <numFmt numFmtId="166" formatCode="0.0000"/>
    <numFmt numFmtId="167" formatCode="0.0%"/>
    <numFmt numFmtId="168" formatCode="_ * #,##0.0_ ;_ * \-#,##0.0_ ;_ * &quot;-&quot;??_ ;_ @_ "/>
  </numFmts>
  <fonts count="108" x14ac:knownFonts="1">
    <font>
      <sz val="11"/>
      <color theme="1"/>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8"/>
      <color theme="1"/>
      <name val="Calibri"/>
      <family val="2"/>
    </font>
    <font>
      <sz val="8"/>
      <color rgb="FF000000"/>
      <name val="Verdana"/>
      <family val="2"/>
    </font>
    <font>
      <sz val="8"/>
      <color theme="1"/>
      <name val="Verdana"/>
      <family val="2"/>
    </font>
    <font>
      <sz val="11"/>
      <name val="Arial"/>
      <family val="2"/>
    </font>
    <font>
      <sz val="7"/>
      <color rgb="FF000000"/>
      <name val="Verdana"/>
      <family val="2"/>
    </font>
    <font>
      <sz val="9"/>
      <color theme="1"/>
      <name val="Verdana"/>
      <family val="2"/>
    </font>
    <font>
      <sz val="11"/>
      <color rgb="FF833C0B"/>
      <name val="Calibri"/>
      <family val="2"/>
    </font>
    <font>
      <sz val="9"/>
      <color rgb="FF000000"/>
      <name val="Verdana"/>
      <family val="2"/>
    </font>
    <font>
      <b/>
      <sz val="7"/>
      <color rgb="FF000000"/>
      <name val="Verdana"/>
      <family val="2"/>
    </font>
    <font>
      <b/>
      <sz val="11"/>
      <color theme="1"/>
      <name val="Calibri"/>
      <family val="2"/>
    </font>
    <font>
      <sz val="8"/>
      <color rgb="FFFF0000"/>
      <name val="Verdana"/>
      <family val="2"/>
    </font>
    <font>
      <sz val="11"/>
      <color rgb="FFFF0000"/>
      <name val="Calibri"/>
      <family val="2"/>
    </font>
    <font>
      <b/>
      <sz val="11"/>
      <color theme="1"/>
      <name val="Arial"/>
      <family val="2"/>
    </font>
    <font>
      <sz val="16"/>
      <color theme="1"/>
      <name val="Calibri"/>
      <family val="2"/>
    </font>
    <font>
      <sz val="7"/>
      <color theme="1"/>
      <name val="Verdana"/>
      <family val="2"/>
    </font>
    <font>
      <sz val="6"/>
      <color theme="1"/>
      <name val="Verdana"/>
      <family val="2"/>
    </font>
    <font>
      <sz val="11"/>
      <color theme="0"/>
      <name val="Calibri"/>
      <family val="2"/>
    </font>
    <font>
      <sz val="10"/>
      <color rgb="FF000000"/>
      <name val="Calibri"/>
      <family val="2"/>
    </font>
    <font>
      <b/>
      <sz val="8"/>
      <color theme="1"/>
      <name val="Verdana"/>
      <family val="2"/>
    </font>
    <font>
      <sz val="11"/>
      <color rgb="FF000000"/>
      <name val="Calibri"/>
      <family val="2"/>
    </font>
    <font>
      <i/>
      <sz val="11"/>
      <color theme="1"/>
      <name val="Calibri"/>
      <family val="2"/>
    </font>
    <font>
      <b/>
      <sz val="9"/>
      <color theme="1"/>
      <name val="Verdana"/>
      <family val="2"/>
    </font>
    <font>
      <b/>
      <u/>
      <sz val="9"/>
      <color theme="1"/>
      <name val="Verdana"/>
      <family val="2"/>
    </font>
    <font>
      <sz val="11"/>
      <color theme="1"/>
      <name val="Arial"/>
      <family val="2"/>
    </font>
    <font>
      <sz val="8.5"/>
      <color theme="1"/>
      <name val="Verdana"/>
      <family val="2"/>
    </font>
    <font>
      <sz val="11"/>
      <color rgb="FF000000"/>
      <name val="Verdana"/>
      <family val="2"/>
    </font>
    <font>
      <sz val="14"/>
      <color theme="1"/>
      <name val="Arial"/>
      <family val="2"/>
    </font>
    <font>
      <sz val="14"/>
      <color rgb="FFFF0000"/>
      <name val="Arial"/>
      <family val="2"/>
    </font>
    <font>
      <i/>
      <sz val="11"/>
      <color theme="1"/>
      <name val="Arial"/>
      <family val="2"/>
    </font>
    <font>
      <i/>
      <sz val="14"/>
      <color theme="1"/>
      <name val="Arial"/>
      <family val="2"/>
    </font>
    <font>
      <sz val="12"/>
      <color rgb="FF1F497D"/>
      <name val="Times New Roman"/>
      <family val="1"/>
    </font>
    <font>
      <sz val="11"/>
      <color theme="1"/>
      <name val="Arial"/>
      <family val="2"/>
    </font>
    <font>
      <sz val="26"/>
      <color theme="1"/>
      <name val="Arial"/>
      <family val="2"/>
    </font>
    <font>
      <i/>
      <sz val="8.5"/>
      <color rgb="FF5B9BD5"/>
      <name val="Verdana"/>
      <family val="2"/>
    </font>
    <font>
      <sz val="6.5"/>
      <color theme="1"/>
      <name val="Verdana"/>
      <family val="2"/>
    </font>
    <font>
      <vertAlign val="subscript"/>
      <sz val="6.5"/>
      <color theme="1"/>
      <name val="Verdana"/>
      <family val="2"/>
    </font>
    <font>
      <sz val="12"/>
      <color theme="1"/>
      <name val="Dubai"/>
      <family val="2"/>
    </font>
    <font>
      <sz val="9"/>
      <color theme="1"/>
      <name val="Segoe UI"/>
      <family val="2"/>
    </font>
    <font>
      <sz val="18"/>
      <color theme="1"/>
      <name val="Arial"/>
      <family val="2"/>
    </font>
    <font>
      <sz val="10"/>
      <color theme="1"/>
      <name val="Verdana"/>
      <family val="2"/>
    </font>
    <font>
      <sz val="11"/>
      <color rgb="FF000000"/>
      <name val="Arial"/>
      <family val="2"/>
    </font>
    <font>
      <sz val="8"/>
      <name val="Arial"/>
      <family val="2"/>
    </font>
    <font>
      <sz val="10"/>
      <color rgb="FF44546A"/>
      <name val="Verdana"/>
      <family val="2"/>
    </font>
    <font>
      <sz val="11"/>
      <color theme="1"/>
      <name val="Wingdings"/>
      <charset val="2"/>
    </font>
    <font>
      <sz val="11"/>
      <color theme="0"/>
      <name val="Calibri"/>
      <family val="2"/>
      <scheme val="minor"/>
    </font>
    <font>
      <sz val="11"/>
      <color theme="1"/>
      <name val="Arial"/>
      <family val="2"/>
    </font>
    <font>
      <sz val="11"/>
      <color theme="1"/>
      <name val="Calibri"/>
      <family val="2"/>
    </font>
    <font>
      <sz val="11"/>
      <name val="Arial"/>
      <family val="2"/>
    </font>
    <font>
      <sz val="5"/>
      <color rgb="FF202124"/>
      <name val="Arial"/>
      <family val="2"/>
    </font>
    <font>
      <vertAlign val="superscript"/>
      <sz val="11"/>
      <color rgb="FF202124"/>
      <name val="Arial"/>
      <family val="2"/>
    </font>
    <font>
      <b/>
      <sz val="8"/>
      <color rgb="FFFF0000"/>
      <name val="Calibri"/>
      <family val="2"/>
    </font>
    <font>
      <b/>
      <sz val="10"/>
      <color rgb="FFFF0000"/>
      <name val="Calibri"/>
      <family val="2"/>
    </font>
    <font>
      <sz val="9"/>
      <color theme="1"/>
      <name val="Calibri"/>
      <family val="2"/>
      <scheme val="minor"/>
    </font>
    <font>
      <b/>
      <sz val="12"/>
      <color theme="1"/>
      <name val="Verdana"/>
      <family val="2"/>
    </font>
    <font>
      <sz val="22"/>
      <color theme="1"/>
      <name val="Arial"/>
      <family val="2"/>
    </font>
    <font>
      <sz val="11"/>
      <color theme="0"/>
      <name val="Arial"/>
      <family val="2"/>
    </font>
    <font>
      <b/>
      <sz val="14"/>
      <color rgb="FF000000"/>
      <name val="Verdana"/>
      <family val="2"/>
    </font>
    <font>
      <sz val="14"/>
      <color rgb="FF000000"/>
      <name val="Verdana"/>
      <family val="2"/>
    </font>
    <font>
      <sz val="14"/>
      <name val="Arial"/>
      <family val="2"/>
    </font>
    <font>
      <sz val="20"/>
      <name val="Arial"/>
      <family val="2"/>
    </font>
    <font>
      <sz val="14"/>
      <name val="Verdana"/>
      <family val="2"/>
    </font>
    <font>
      <sz val="11"/>
      <name val="Verdana"/>
      <family val="2"/>
    </font>
    <font>
      <i/>
      <sz val="14"/>
      <name val="Verdana"/>
      <family val="2"/>
    </font>
    <font>
      <sz val="22"/>
      <name val="Arial"/>
      <family val="2"/>
    </font>
    <font>
      <sz val="14"/>
      <color theme="1"/>
      <name val="Verdana"/>
      <family val="2"/>
    </font>
    <font>
      <sz val="14"/>
      <color rgb="FFFF0000"/>
      <name val="Verdana"/>
      <family val="2"/>
    </font>
    <font>
      <i/>
      <sz val="16"/>
      <name val="Arial"/>
      <family val="2"/>
    </font>
    <font>
      <sz val="16"/>
      <color theme="1"/>
      <name val="Arial"/>
      <family val="2"/>
    </font>
    <font>
      <i/>
      <sz val="14"/>
      <name val="Arial"/>
      <family val="2"/>
    </font>
    <font>
      <b/>
      <sz val="14"/>
      <color theme="1"/>
      <name val="Arial"/>
      <family val="2"/>
    </font>
    <font>
      <sz val="12"/>
      <color theme="1"/>
      <name val="Verdana"/>
      <family val="2"/>
    </font>
    <font>
      <i/>
      <sz val="12"/>
      <color theme="1"/>
      <name val="Verdana"/>
      <family val="2"/>
    </font>
    <font>
      <b/>
      <sz val="14"/>
      <color theme="5"/>
      <name val="Verdana"/>
      <family val="2"/>
    </font>
    <font>
      <sz val="9"/>
      <color rgb="FF1D1C1D"/>
      <name val="Arial"/>
      <family val="2"/>
    </font>
    <font>
      <i/>
      <sz val="14"/>
      <color theme="1"/>
      <name val="Verdana"/>
      <family val="2"/>
    </font>
    <font>
      <vertAlign val="subscript"/>
      <sz val="14"/>
      <color theme="1"/>
      <name val="Verdana"/>
      <family val="2"/>
    </font>
    <font>
      <i/>
      <sz val="16"/>
      <color theme="1"/>
      <name val="Arial"/>
      <family val="2"/>
    </font>
    <font>
      <sz val="11"/>
      <color theme="2"/>
      <name val="Arial"/>
      <family val="2"/>
    </font>
    <font>
      <i/>
      <sz val="16"/>
      <color theme="1"/>
      <name val="Calibri"/>
      <family val="2"/>
    </font>
    <font>
      <sz val="8.5"/>
      <color rgb="FF000000"/>
      <name val="Verdana"/>
      <family val="2"/>
    </font>
    <font>
      <b/>
      <sz val="8.5"/>
      <color rgb="FF000000"/>
      <name val="Verdana"/>
      <family val="2"/>
    </font>
    <font>
      <vertAlign val="subscript"/>
      <sz val="8.5"/>
      <color rgb="FF000000"/>
      <name val="Verdana"/>
      <family val="2"/>
    </font>
    <font>
      <vertAlign val="superscript"/>
      <sz val="8.5"/>
      <color rgb="FF000000"/>
      <name val="Verdana"/>
      <family val="2"/>
    </font>
    <font>
      <sz val="10"/>
      <color theme="1"/>
      <name val="Arial"/>
      <family val="2"/>
    </font>
    <font>
      <sz val="11"/>
      <color indexed="81"/>
      <name val="Tahoma"/>
      <family val="2"/>
    </font>
    <font>
      <sz val="12"/>
      <color indexed="81"/>
      <name val="Tahoma"/>
      <family val="2"/>
    </font>
    <font>
      <i/>
      <sz val="14"/>
      <color rgb="FF000000"/>
      <name val="Verdana"/>
      <family val="2"/>
    </font>
    <font>
      <b/>
      <i/>
      <sz val="14"/>
      <color theme="1"/>
      <name val="Verdana"/>
      <family val="2"/>
    </font>
    <font>
      <sz val="20"/>
      <color theme="1"/>
      <name val="Arial"/>
      <family val="2"/>
    </font>
    <font>
      <i/>
      <sz val="14"/>
      <color rgb="FFC00000"/>
      <name val="Arial"/>
      <family val="2"/>
    </font>
    <font>
      <b/>
      <i/>
      <sz val="14"/>
      <color rgb="FF000000"/>
      <name val="Verdana"/>
      <family val="2"/>
    </font>
    <font>
      <i/>
      <sz val="12"/>
      <color theme="1"/>
      <name val="Arial"/>
      <family val="2"/>
    </font>
    <font>
      <i/>
      <sz val="16"/>
      <color rgb="FFFF0000"/>
      <name val="Arial"/>
      <family val="2"/>
    </font>
    <font>
      <i/>
      <sz val="12"/>
      <color rgb="FFFF0000"/>
      <name val="Arial"/>
      <family val="2"/>
    </font>
  </fonts>
  <fills count="30">
    <fill>
      <patternFill patternType="none"/>
    </fill>
    <fill>
      <patternFill patternType="gray125"/>
    </fill>
    <fill>
      <patternFill patternType="solid">
        <fgColor rgb="FFE2EFD9"/>
        <bgColor rgb="FFE2EFD9"/>
      </patternFill>
    </fill>
    <fill>
      <patternFill patternType="solid">
        <fgColor rgb="FFFBE4D5"/>
        <bgColor rgb="FFFBE4D5"/>
      </patternFill>
    </fill>
    <fill>
      <patternFill patternType="solid">
        <fgColor rgb="FFFEF2CB"/>
        <bgColor rgb="FFFEF2CB"/>
      </patternFill>
    </fill>
    <fill>
      <patternFill patternType="solid">
        <fgColor rgb="FFFFFF00"/>
        <bgColor rgb="FFFFFF00"/>
      </patternFill>
    </fill>
    <fill>
      <patternFill patternType="solid">
        <fgColor rgb="FFF4B083"/>
        <bgColor rgb="FFF4B083"/>
      </patternFill>
    </fill>
    <fill>
      <patternFill patternType="solid">
        <fgColor rgb="FFFF0000"/>
        <bgColor rgb="FFFF0000"/>
      </patternFill>
    </fill>
    <fill>
      <patternFill patternType="solid">
        <fgColor rgb="FF000000"/>
        <bgColor rgb="FF000000"/>
      </patternFill>
    </fill>
    <fill>
      <patternFill patternType="solid">
        <fgColor rgb="FFFFFFFF"/>
        <bgColor rgb="FFFFFFFF"/>
      </patternFill>
    </fill>
    <fill>
      <patternFill patternType="solid">
        <fgColor rgb="FF0D0D0D"/>
        <bgColor rgb="FF0D0D0D"/>
      </patternFill>
    </fill>
    <fill>
      <patternFill patternType="solid">
        <fgColor theme="9" tint="0.79998168889431442"/>
        <bgColor rgb="FFE2EFD9"/>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7" tint="-0.249977111117893"/>
        <bgColor indexed="64"/>
      </patternFill>
    </fill>
    <fill>
      <patternFill patternType="solid">
        <fgColor rgb="FFFFF2CC"/>
        <bgColor indexed="64"/>
      </patternFill>
    </fill>
    <fill>
      <patternFill patternType="solid">
        <fgColor theme="4" tint="0.79998168889431442"/>
        <bgColor indexed="64"/>
      </patternFill>
    </fill>
    <fill>
      <patternFill patternType="solid">
        <fgColor theme="6"/>
      </patternFill>
    </fill>
    <fill>
      <patternFill patternType="solid">
        <fgColor rgb="FFDDD9C3"/>
        <bgColor rgb="FFDDD9C3"/>
      </patternFill>
    </fill>
    <fill>
      <patternFill patternType="solid">
        <fgColor rgb="FFFCD5B5"/>
        <bgColor rgb="FFFCD5B5"/>
      </patternFill>
    </fill>
    <fill>
      <patternFill patternType="solid">
        <fgColor rgb="FF8DB4E2"/>
        <bgColor rgb="FF8DB4E2"/>
      </patternFill>
    </fill>
    <fill>
      <patternFill patternType="solid">
        <fgColor rgb="FF8EB4E3"/>
        <bgColor rgb="FF8EB4E3"/>
      </patternFill>
    </fill>
    <fill>
      <patternFill patternType="solid">
        <fgColor rgb="FFD6DCE4"/>
        <bgColor rgb="FFD6DCE4"/>
      </patternFill>
    </fill>
    <fill>
      <patternFill patternType="solid">
        <fgColor theme="3" tint="0.499984740745262"/>
        <bgColor indexed="64"/>
      </patternFill>
    </fill>
    <fill>
      <patternFill patternType="solid">
        <fgColor theme="7" tint="0.79998168889431442"/>
        <bgColor rgb="FFFFFF00"/>
      </patternFill>
    </fill>
    <fill>
      <patternFill patternType="solid">
        <fgColor rgb="FFFFCCCC"/>
        <bgColor indexed="64"/>
      </patternFill>
    </fill>
    <fill>
      <patternFill patternType="solid">
        <fgColor theme="2" tint="-0.14999847407452621"/>
        <bgColor indexed="64"/>
      </patternFill>
    </fill>
    <fill>
      <patternFill patternType="solid">
        <fgColor theme="2" tint="-4.9989318521683403E-2"/>
        <bgColor indexed="64"/>
      </patternFill>
    </fill>
  </fills>
  <borders count="83">
    <border>
      <left/>
      <right/>
      <top/>
      <bottom/>
      <diagonal/>
    </border>
    <border>
      <left/>
      <right/>
      <top/>
      <bottom/>
      <diagonal/>
    </border>
    <border>
      <left style="thin">
        <color rgb="FF000000"/>
      </left>
      <right/>
      <top style="thin">
        <color rgb="FF000000"/>
      </top>
      <bottom style="thin">
        <color rgb="FF000000"/>
      </bottom>
      <diagonal/>
    </border>
    <border>
      <left style="thin">
        <color rgb="FF000000"/>
      </left>
      <right/>
      <top/>
      <bottom/>
      <diagonal/>
    </border>
    <border>
      <left/>
      <right style="medium">
        <color rgb="FFCCCCCC"/>
      </right>
      <top/>
      <bottom style="medium">
        <color rgb="FFCCCCCC"/>
      </bottom>
      <diagonal/>
    </border>
    <border>
      <left style="double">
        <color rgb="FF833C0B"/>
      </left>
      <right/>
      <top style="double">
        <color rgb="FF833C0B"/>
      </top>
      <bottom style="medium">
        <color rgb="FFCCCCCC"/>
      </bottom>
      <diagonal/>
    </border>
    <border>
      <left style="thin">
        <color rgb="FF000000"/>
      </left>
      <right style="medium">
        <color rgb="FFCCCCCC"/>
      </right>
      <top/>
      <bottom style="medium">
        <color rgb="FFCCCCCC"/>
      </bottom>
      <diagonal/>
    </border>
    <border>
      <left/>
      <right/>
      <top style="double">
        <color rgb="FF833C0B"/>
      </top>
      <bottom/>
      <diagonal/>
    </border>
    <border>
      <left style="double">
        <color rgb="FF833C0B"/>
      </left>
      <right style="medium">
        <color rgb="FFCCCCCC"/>
      </right>
      <top style="double">
        <color rgb="FF833C0B"/>
      </top>
      <bottom style="medium">
        <color rgb="FFCCCCCC"/>
      </bottom>
      <diagonal/>
    </border>
    <border>
      <left/>
      <right/>
      <top style="double">
        <color rgb="FF833C0B"/>
      </top>
      <bottom/>
      <diagonal/>
    </border>
    <border>
      <left style="double">
        <color rgb="FF833C0B"/>
      </left>
      <right style="medium">
        <color rgb="FFCCCCCC"/>
      </right>
      <top/>
      <bottom style="medium">
        <color rgb="FFCCCCCC"/>
      </bottom>
      <diagonal/>
    </border>
    <border>
      <left/>
      <right style="medium">
        <color rgb="FFCCCCCC"/>
      </right>
      <top/>
      <bottom/>
      <diagonal/>
    </border>
    <border>
      <left style="double">
        <color rgb="FF833C0B"/>
      </left>
      <right style="medium">
        <color rgb="FFCCCCCC"/>
      </right>
      <top/>
      <bottom style="double">
        <color rgb="FF833C0B"/>
      </bottom>
      <diagonal/>
    </border>
    <border>
      <left/>
      <right style="medium">
        <color rgb="FFCCCCCC"/>
      </right>
      <top/>
      <bottom style="double">
        <color rgb="FF833C0B"/>
      </bottom>
      <diagonal/>
    </border>
    <border>
      <left/>
      <right/>
      <top/>
      <bottom style="double">
        <color rgb="FF833C0B"/>
      </bottom>
      <diagonal/>
    </border>
    <border>
      <left/>
      <right/>
      <top style="medium">
        <color rgb="FF7F7F7F"/>
      </top>
      <bottom style="medium">
        <color rgb="FF7F7F7F"/>
      </bottom>
      <diagonal/>
    </border>
    <border>
      <left/>
      <right/>
      <top/>
      <bottom style="medium">
        <color rgb="FF7F7F7F"/>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style="medium">
        <color rgb="FF000000"/>
      </right>
      <top style="double">
        <color rgb="FF833C0B"/>
      </top>
      <bottom style="medium">
        <color rgb="FF000000"/>
      </bottom>
      <diagonal/>
    </border>
    <border>
      <left/>
      <right style="thin">
        <color rgb="FF000000"/>
      </right>
      <top/>
      <bottom/>
      <diagonal/>
    </border>
    <border>
      <left style="medium">
        <color rgb="FFCCCCCC"/>
      </left>
      <right style="medium">
        <color rgb="FFCCCCCC"/>
      </right>
      <top style="medium">
        <color rgb="FFCCCCCC"/>
      </top>
      <bottom style="medium">
        <color rgb="FF000000"/>
      </bottom>
      <diagonal/>
    </border>
    <border>
      <left/>
      <right style="medium">
        <color rgb="FFCCCCCC"/>
      </right>
      <top style="medium">
        <color rgb="FFCCCCCC"/>
      </top>
      <bottom style="medium">
        <color rgb="FF000000"/>
      </bottom>
      <diagonal/>
    </border>
    <border>
      <left style="medium">
        <color rgb="FFCCCCCC"/>
      </left>
      <right style="medium">
        <color rgb="FFCCCCCC"/>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thin">
        <color rgb="FF000000"/>
      </right>
      <top style="thin">
        <color rgb="FF000000"/>
      </top>
      <bottom/>
      <diagonal/>
    </border>
    <border>
      <left style="medium">
        <color rgb="FF000000"/>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medium">
        <color rgb="FF000000"/>
      </right>
      <top/>
      <bottom style="medium">
        <color rgb="FFCCCCCC"/>
      </bottom>
      <diagonal/>
    </border>
    <border>
      <left style="medium">
        <color rgb="FF000000"/>
      </left>
      <right style="medium">
        <color rgb="FF000000"/>
      </right>
      <top style="medium">
        <color rgb="FFCCCCCC"/>
      </top>
      <bottom/>
      <diagonal/>
    </border>
    <border>
      <left style="medium">
        <color rgb="FF000000"/>
      </left>
      <right style="medium">
        <color rgb="FF000000"/>
      </right>
      <top/>
      <bottom/>
      <diagonal/>
    </border>
    <border>
      <left/>
      <right/>
      <top/>
      <bottom style="double">
        <color rgb="FF833C0B"/>
      </bottom>
      <diagonal/>
    </border>
    <border>
      <left/>
      <right/>
      <top/>
      <bottom style="double">
        <color rgb="FFC00000"/>
      </bottom>
      <diagonal/>
    </border>
    <border>
      <left/>
      <right/>
      <top/>
      <bottom style="thin">
        <color rgb="FF000000"/>
      </bottom>
      <diagonal/>
    </border>
    <border>
      <left style="thin">
        <color rgb="FF000000"/>
      </left>
      <right style="medium">
        <color rgb="FF000000"/>
      </right>
      <top/>
      <bottom/>
      <diagonal/>
    </border>
    <border>
      <left/>
      <right style="medium">
        <color rgb="FFCCCCCC"/>
      </right>
      <top style="double">
        <color rgb="FF833C0B"/>
      </top>
      <bottom style="medium">
        <color rgb="FFCCCCCC"/>
      </bottom>
      <diagonal/>
    </border>
    <border>
      <left/>
      <right style="thin">
        <color rgb="FF000000"/>
      </right>
      <top/>
      <bottom style="thin">
        <color rgb="FF000000"/>
      </bottom>
      <diagonal/>
    </border>
    <border>
      <left style="dotted">
        <color rgb="FF2E75B5"/>
      </left>
      <right/>
      <top/>
      <bottom/>
      <diagonal/>
    </border>
    <border>
      <left style="thin">
        <color rgb="FF000000"/>
      </left>
      <right/>
      <top/>
      <bottom style="double">
        <color rgb="FFC00000"/>
      </bottom>
      <diagonal/>
    </border>
    <border>
      <left style="medium">
        <color rgb="FF000000"/>
      </left>
      <right/>
      <top style="double">
        <color rgb="FFC00000"/>
      </top>
      <bottom style="double">
        <color rgb="FFC00000"/>
      </bottom>
      <diagonal/>
    </border>
    <border>
      <left/>
      <right/>
      <top style="double">
        <color rgb="FFC00000"/>
      </top>
      <bottom style="double">
        <color rgb="FFC00000"/>
      </bottom>
      <diagonal/>
    </border>
    <border>
      <left style="thin">
        <color rgb="FF000000"/>
      </left>
      <right/>
      <top style="double">
        <color rgb="FFC00000"/>
      </top>
      <bottom style="double">
        <color rgb="FFC00000"/>
      </bottom>
      <diagonal/>
    </border>
    <border>
      <left/>
      <right style="medium">
        <color rgb="FFCCCCCC"/>
      </right>
      <top style="double">
        <color rgb="FFC00000"/>
      </top>
      <bottom style="medium">
        <color rgb="FFCCCCCC"/>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rgb="FF7F7F7F"/>
      </top>
      <bottom style="medium">
        <color rgb="FF7F7F7F"/>
      </bottom>
      <diagonal/>
    </border>
    <border>
      <left/>
      <right style="medium">
        <color indexed="64"/>
      </right>
      <top/>
      <bottom style="medium">
        <color rgb="FF7F7F7F"/>
      </bottom>
      <diagonal/>
    </border>
    <border>
      <left style="medium">
        <color indexed="64"/>
      </left>
      <right/>
      <top style="medium">
        <color rgb="FF7F7F7F"/>
      </top>
      <bottom style="medium">
        <color rgb="FF7F7F7F"/>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dashed">
        <color rgb="FFFFC000"/>
      </left>
      <right/>
      <top style="dashed">
        <color rgb="FFFFC000"/>
      </top>
      <bottom/>
      <diagonal/>
    </border>
    <border>
      <left/>
      <right style="dashed">
        <color rgb="FFFFC000"/>
      </right>
      <top style="dashed">
        <color rgb="FFFFC000"/>
      </top>
      <bottom/>
      <diagonal/>
    </border>
    <border>
      <left style="dashed">
        <color rgb="FFFFC000"/>
      </left>
      <right/>
      <top/>
      <bottom/>
      <diagonal/>
    </border>
    <border>
      <left/>
      <right style="dashed">
        <color rgb="FFFFC000"/>
      </right>
      <top/>
      <bottom/>
      <diagonal/>
    </border>
    <border>
      <left style="dashed">
        <color rgb="FFFFC000"/>
      </left>
      <right/>
      <top/>
      <bottom style="dashed">
        <color rgb="FFFFC000"/>
      </bottom>
      <diagonal/>
    </border>
    <border>
      <left/>
      <right style="dashed">
        <color rgb="FFFFC000"/>
      </right>
      <top/>
      <bottom style="dashed">
        <color rgb="FFFFC000"/>
      </bottom>
      <diagonal/>
    </border>
    <border>
      <left/>
      <right style="medium">
        <color indexed="64"/>
      </right>
      <top/>
      <bottom style="thin">
        <color indexed="64"/>
      </bottom>
      <diagonal/>
    </border>
    <border>
      <left/>
      <right style="thin">
        <color indexed="64"/>
      </right>
      <top/>
      <bottom style="thin">
        <color indexed="64"/>
      </bottom>
      <diagonal/>
    </border>
    <border>
      <left style="medium">
        <color rgb="FFFFFF00"/>
      </left>
      <right style="medium">
        <color rgb="FFFFFF00"/>
      </right>
      <top style="medium">
        <color rgb="FFFFFF00"/>
      </top>
      <bottom style="thin">
        <color indexed="64"/>
      </bottom>
      <diagonal/>
    </border>
    <border>
      <left style="medium">
        <color rgb="FFFFFF00"/>
      </left>
      <right style="medium">
        <color rgb="FFFFFF00"/>
      </right>
      <top style="thin">
        <color indexed="64"/>
      </top>
      <bottom style="thin">
        <color indexed="64"/>
      </bottom>
      <diagonal/>
    </border>
    <border>
      <left style="medium">
        <color rgb="FFFFFF00"/>
      </left>
      <right style="medium">
        <color rgb="FFFFFF00"/>
      </right>
      <top style="thin">
        <color indexed="64"/>
      </top>
      <bottom style="medium">
        <color rgb="FFFFFF00"/>
      </bottom>
      <diagonal/>
    </border>
    <border>
      <left style="medium">
        <color rgb="FFFFFF00"/>
      </left>
      <right style="medium">
        <color rgb="FFFFFF00"/>
      </right>
      <top style="medium">
        <color rgb="FFFFFF00"/>
      </top>
      <bottom/>
      <diagonal/>
    </border>
    <border>
      <left style="medium">
        <color rgb="FFFFFF00"/>
      </left>
      <right style="medium">
        <color rgb="FFFFFF00"/>
      </right>
      <top/>
      <bottom/>
      <diagonal/>
    </border>
    <border>
      <left style="medium">
        <color rgb="FFFFFF00"/>
      </left>
      <right style="medium">
        <color rgb="FFFFFF00"/>
      </right>
      <top/>
      <bottom style="medium">
        <color rgb="FFFFFF00"/>
      </bottom>
      <diagonal/>
    </border>
    <border>
      <left style="thin">
        <color indexed="64"/>
      </left>
      <right style="medium">
        <color indexed="64"/>
      </right>
      <top/>
      <bottom/>
      <diagonal/>
    </border>
    <border>
      <left style="medium">
        <color indexed="64"/>
      </left>
      <right/>
      <top/>
      <bottom style="thin">
        <color indexed="64"/>
      </bottom>
      <diagonal/>
    </border>
  </borders>
  <cellStyleXfs count="10">
    <xf numFmtId="0" fontId="0" fillId="0" borderId="0"/>
    <xf numFmtId="9" fontId="37" fillId="0" borderId="0" applyFont="0" applyFill="0" applyBorder="0" applyAlignment="0" applyProtection="0"/>
    <xf numFmtId="0" fontId="12" fillId="0" borderId="1"/>
    <xf numFmtId="43" fontId="45" fillId="0" borderId="0" applyFont="0" applyFill="0" applyBorder="0" applyAlignment="0" applyProtection="0"/>
    <xf numFmtId="0" fontId="11" fillId="0" borderId="1"/>
    <xf numFmtId="0" fontId="58" fillId="19" borderId="0" applyNumberFormat="0" applyBorder="0" applyAlignment="0" applyProtection="0"/>
    <xf numFmtId="0" fontId="59" fillId="0" borderId="1"/>
    <xf numFmtId="0" fontId="8" fillId="0" borderId="1"/>
    <xf numFmtId="0" fontId="37" fillId="0" borderId="1"/>
    <xf numFmtId="0" fontId="37" fillId="0" borderId="1"/>
  </cellStyleXfs>
  <cellXfs count="541">
    <xf numFmtId="0" fontId="0" fillId="0" borderId="0" xfId="0" applyFont="1" applyAlignment="1"/>
    <xf numFmtId="0" fontId="13" fillId="0" borderId="0" xfId="0" applyFont="1" applyAlignment="1">
      <alignment horizontal="center"/>
    </xf>
    <xf numFmtId="0" fontId="13" fillId="0" borderId="0" xfId="0" applyFont="1"/>
    <xf numFmtId="0" fontId="15" fillId="3" borderId="1" xfId="0" applyFont="1" applyFill="1" applyBorder="1" applyAlignment="1">
      <alignment vertical="center" wrapText="1"/>
    </xf>
    <xf numFmtId="0" fontId="18" fillId="3" borderId="5" xfId="0" applyFont="1" applyFill="1" applyBorder="1" applyAlignment="1">
      <alignment vertical="center" wrapText="1"/>
    </xf>
    <xf numFmtId="0" fontId="18" fillId="3" borderId="6" xfId="0" applyFont="1" applyFill="1" applyBorder="1" applyAlignment="1">
      <alignment vertical="center" wrapText="1"/>
    </xf>
    <xf numFmtId="0" fontId="13" fillId="0" borderId="7" xfId="0" applyFont="1" applyBorder="1"/>
    <xf numFmtId="0" fontId="18" fillId="3" borderId="8" xfId="0" applyFont="1" applyFill="1" applyBorder="1" applyAlignment="1">
      <alignment vertical="center" wrapText="1"/>
    </xf>
    <xf numFmtId="0" fontId="18" fillId="3" borderId="4" xfId="0" applyFont="1" applyFill="1" applyBorder="1" applyAlignment="1">
      <alignment vertical="center" wrapText="1"/>
    </xf>
    <xf numFmtId="164" fontId="19" fillId="5" borderId="9" xfId="0" applyNumberFormat="1" applyFont="1" applyFill="1" applyBorder="1"/>
    <xf numFmtId="164" fontId="20" fillId="0" borderId="0" xfId="0" applyNumberFormat="1" applyFont="1"/>
    <xf numFmtId="0" fontId="18" fillId="3" borderId="10" xfId="0" applyFont="1" applyFill="1" applyBorder="1" applyAlignment="1">
      <alignment vertical="center" wrapText="1"/>
    </xf>
    <xf numFmtId="164" fontId="21" fillId="2" borderId="1" xfId="0" applyNumberFormat="1" applyFont="1" applyFill="1" applyBorder="1" applyAlignment="1">
      <alignment vertical="center" wrapText="1"/>
    </xf>
    <xf numFmtId="0" fontId="22" fillId="3" borderId="10" xfId="0" applyFont="1" applyFill="1" applyBorder="1" applyAlignment="1">
      <alignment vertical="center" wrapText="1"/>
    </xf>
    <xf numFmtId="164" fontId="21" fillId="3" borderId="1" xfId="0" applyNumberFormat="1" applyFont="1" applyFill="1" applyBorder="1" applyAlignment="1">
      <alignment vertical="center" wrapText="1"/>
    </xf>
    <xf numFmtId="164" fontId="19" fillId="5" borderId="1" xfId="0" applyNumberFormat="1" applyFont="1" applyFill="1" applyBorder="1"/>
    <xf numFmtId="0" fontId="22" fillId="3" borderId="12" xfId="0" applyFont="1" applyFill="1" applyBorder="1" applyAlignment="1">
      <alignment vertical="center" wrapText="1"/>
    </xf>
    <xf numFmtId="0" fontId="18" fillId="3" borderId="13" xfId="0" applyFont="1" applyFill="1" applyBorder="1" applyAlignment="1">
      <alignment vertical="center" wrapText="1"/>
    </xf>
    <xf numFmtId="164" fontId="21" fillId="3" borderId="14" xfId="0" applyNumberFormat="1" applyFont="1" applyFill="1" applyBorder="1" applyAlignment="1">
      <alignment vertical="center" wrapText="1"/>
    </xf>
    <xf numFmtId="0" fontId="22" fillId="3" borderId="8" xfId="0" applyFont="1" applyFill="1" applyBorder="1" applyAlignment="1">
      <alignment vertical="center" wrapText="1"/>
    </xf>
    <xf numFmtId="164" fontId="19" fillId="2" borderId="1" xfId="0" applyNumberFormat="1" applyFont="1" applyFill="1" applyBorder="1"/>
    <xf numFmtId="164" fontId="21" fillId="5" borderId="1" xfId="0" applyNumberFormat="1" applyFont="1" applyFill="1" applyBorder="1" applyAlignment="1">
      <alignment vertical="center" wrapText="1"/>
    </xf>
    <xf numFmtId="0" fontId="18" fillId="3" borderId="11" xfId="0" applyFont="1" applyFill="1" applyBorder="1" applyAlignment="1">
      <alignment vertical="center" wrapText="1"/>
    </xf>
    <xf numFmtId="164" fontId="21" fillId="5" borderId="9" xfId="0" applyNumberFormat="1" applyFont="1" applyFill="1" applyBorder="1" applyAlignment="1">
      <alignment vertical="center" wrapText="1"/>
    </xf>
    <xf numFmtId="164" fontId="19" fillId="2" borderId="2" xfId="0" applyNumberFormat="1" applyFont="1" applyFill="1" applyBorder="1"/>
    <xf numFmtId="0" fontId="23" fillId="0" borderId="0" xfId="0" applyFont="1"/>
    <xf numFmtId="0" fontId="13" fillId="0" borderId="19" xfId="0" applyFont="1" applyBorder="1"/>
    <xf numFmtId="0" fontId="22" fillId="6" borderId="1" xfId="0" applyFont="1" applyFill="1" applyBorder="1" applyAlignment="1">
      <alignment vertical="center" wrapText="1"/>
    </xf>
    <xf numFmtId="0" fontId="20" fillId="0" borderId="0" xfId="0" applyFont="1"/>
    <xf numFmtId="0" fontId="13" fillId="2" borderId="1" xfId="0" applyFont="1" applyFill="1" applyBorder="1"/>
    <xf numFmtId="164" fontId="13" fillId="0" borderId="0" xfId="0" applyNumberFormat="1" applyFont="1"/>
    <xf numFmtId="164" fontId="19" fillId="0" borderId="0" xfId="0" applyNumberFormat="1" applyFont="1"/>
    <xf numFmtId="164" fontId="13" fillId="2" borderId="1" xfId="0" applyNumberFormat="1" applyFont="1" applyFill="1" applyBorder="1"/>
    <xf numFmtId="0" fontId="30" fillId="7" borderId="1" xfId="0" applyFont="1" applyFill="1" applyBorder="1"/>
    <xf numFmtId="0" fontId="13" fillId="0" borderId="0" xfId="0" applyFont="1" applyAlignment="1">
      <alignment wrapText="1"/>
    </xf>
    <xf numFmtId="0" fontId="31" fillId="4" borderId="1" xfId="0" applyFont="1" applyFill="1" applyBorder="1"/>
    <xf numFmtId="0" fontId="14" fillId="0" borderId="0" xfId="0" applyFont="1"/>
    <xf numFmtId="0" fontId="19" fillId="0" borderId="22" xfId="0" applyFont="1" applyBorder="1" applyAlignment="1">
      <alignment vertical="center"/>
    </xf>
    <xf numFmtId="0" fontId="13" fillId="0" borderId="23" xfId="0" applyFont="1" applyBorder="1" applyAlignment="1">
      <alignment wrapText="1"/>
    </xf>
    <xf numFmtId="0" fontId="22" fillId="6" borderId="24" xfId="0" applyFont="1" applyFill="1" applyBorder="1" applyAlignment="1">
      <alignment vertical="center" wrapText="1"/>
    </xf>
    <xf numFmtId="0" fontId="18" fillId="2" borderId="4" xfId="0" quotePrefix="1" applyFont="1" applyFill="1" applyBorder="1" applyAlignment="1">
      <alignment vertical="center" wrapText="1"/>
    </xf>
    <xf numFmtId="0" fontId="32" fillId="0" borderId="25" xfId="0" applyFont="1" applyBorder="1" applyAlignment="1">
      <alignment vertical="center" wrapText="1"/>
    </xf>
    <xf numFmtId="0" fontId="32" fillId="0" borderId="26" xfId="0" applyFont="1" applyBorder="1" applyAlignment="1">
      <alignment vertical="center" wrapText="1"/>
    </xf>
    <xf numFmtId="0" fontId="32" fillId="0" borderId="27" xfId="0" applyFont="1" applyBorder="1" applyAlignment="1">
      <alignment vertical="center" wrapText="1"/>
    </xf>
    <xf numFmtId="0" fontId="13" fillId="0" borderId="28" xfId="0" applyFont="1" applyBorder="1"/>
    <xf numFmtId="0" fontId="16" fillId="0" borderId="26" xfId="0" applyFont="1" applyBorder="1" applyAlignment="1">
      <alignment vertical="center" wrapText="1"/>
    </xf>
    <xf numFmtId="0" fontId="15" fillId="3" borderId="30" xfId="0" applyFont="1" applyFill="1" applyBorder="1" applyAlignment="1">
      <alignment vertical="center" wrapText="1"/>
    </xf>
    <xf numFmtId="0" fontId="13" fillId="8" borderId="30" xfId="0" applyFont="1" applyFill="1" applyBorder="1" applyAlignment="1">
      <alignment vertical="top" wrapText="1"/>
    </xf>
    <xf numFmtId="0" fontId="33" fillId="4" borderId="1" xfId="0" applyFont="1" applyFill="1" applyBorder="1"/>
    <xf numFmtId="164" fontId="20" fillId="0" borderId="7" xfId="0" applyNumberFormat="1" applyFont="1" applyBorder="1"/>
    <xf numFmtId="0" fontId="18" fillId="2" borderId="4" xfId="0" applyFont="1" applyFill="1" applyBorder="1" applyAlignment="1">
      <alignment vertical="center" wrapText="1"/>
    </xf>
    <xf numFmtId="0" fontId="33" fillId="9" borderId="30" xfId="0" applyFont="1" applyFill="1" applyBorder="1" applyAlignment="1">
      <alignment vertical="center" wrapText="1"/>
    </xf>
    <xf numFmtId="0" fontId="33" fillId="3" borderId="30" xfId="0" applyFont="1" applyFill="1" applyBorder="1" applyAlignment="1">
      <alignment vertical="center" wrapText="1"/>
    </xf>
    <xf numFmtId="0" fontId="16" fillId="0" borderId="27" xfId="0" applyFont="1" applyBorder="1" applyAlignment="1">
      <alignment horizontal="center" vertical="center" wrapText="1"/>
    </xf>
    <xf numFmtId="0" fontId="13" fillId="10" borderId="30" xfId="0" applyFont="1" applyFill="1" applyBorder="1" applyAlignment="1">
      <alignment vertical="top" wrapText="1"/>
    </xf>
    <xf numFmtId="0" fontId="13" fillId="9" borderId="30" xfId="0" applyFont="1" applyFill="1" applyBorder="1" applyAlignment="1">
      <alignment vertical="top" wrapText="1"/>
    </xf>
    <xf numFmtId="0" fontId="15" fillId="9" borderId="33" xfId="0" applyFont="1" applyFill="1" applyBorder="1" applyAlignment="1">
      <alignment horizontal="center" vertical="center" wrapText="1"/>
    </xf>
    <xf numFmtId="164" fontId="20" fillId="0" borderId="34" xfId="0" applyNumberFormat="1" applyFont="1" applyBorder="1"/>
    <xf numFmtId="0" fontId="18" fillId="2" borderId="11" xfId="0" quotePrefix="1" applyFont="1" applyFill="1" applyBorder="1" applyAlignment="1">
      <alignment vertical="center" wrapText="1"/>
    </xf>
    <xf numFmtId="0" fontId="13" fillId="0" borderId="26" xfId="0" applyFont="1" applyBorder="1" applyAlignment="1">
      <alignment vertical="top" wrapText="1"/>
    </xf>
    <xf numFmtId="0" fontId="13" fillId="0" borderId="26" xfId="0" applyFont="1" applyBorder="1" applyAlignment="1">
      <alignment vertical="center" wrapText="1"/>
    </xf>
    <xf numFmtId="0" fontId="15" fillId="0" borderId="0" xfId="0" applyFont="1" applyAlignment="1">
      <alignment horizontal="center" vertical="center" wrapText="1"/>
    </xf>
    <xf numFmtId="0" fontId="16" fillId="0" borderId="0" xfId="0" applyFont="1" applyAlignment="1">
      <alignment vertical="center" wrapText="1"/>
    </xf>
    <xf numFmtId="0" fontId="13" fillId="0" borderId="0" xfId="0" applyFont="1" applyAlignment="1">
      <alignment vertical="top" wrapText="1"/>
    </xf>
    <xf numFmtId="0" fontId="13" fillId="0" borderId="0" xfId="0" applyFont="1" applyAlignment="1">
      <alignment vertical="center" wrapText="1"/>
    </xf>
    <xf numFmtId="0" fontId="13" fillId="0" borderId="35" xfId="0" applyFont="1" applyBorder="1"/>
    <xf numFmtId="164" fontId="13" fillId="0" borderId="19" xfId="0" applyNumberFormat="1" applyFont="1" applyBorder="1"/>
    <xf numFmtId="0" fontId="18" fillId="2" borderId="38" xfId="0" applyFont="1" applyFill="1" applyBorder="1" applyAlignment="1">
      <alignment vertical="center" wrapText="1"/>
    </xf>
    <xf numFmtId="1" fontId="13" fillId="0" borderId="19" xfId="0" applyNumberFormat="1" applyFont="1" applyBorder="1"/>
    <xf numFmtId="0" fontId="13" fillId="0" borderId="41" xfId="0" applyFont="1" applyBorder="1"/>
    <xf numFmtId="1" fontId="13" fillId="0" borderId="42" xfId="0" applyNumberFormat="1" applyFont="1" applyBorder="1"/>
    <xf numFmtId="0" fontId="13" fillId="0" borderId="43" xfId="0" applyFont="1" applyBorder="1"/>
    <xf numFmtId="1" fontId="13" fillId="0" borderId="44" xfId="0" applyNumberFormat="1" applyFont="1" applyBorder="1"/>
    <xf numFmtId="164" fontId="13" fillId="2" borderId="3" xfId="0" applyNumberFormat="1" applyFont="1" applyFill="1" applyBorder="1"/>
    <xf numFmtId="2" fontId="13" fillId="2" borderId="3" xfId="0" applyNumberFormat="1" applyFont="1" applyFill="1" applyBorder="1"/>
    <xf numFmtId="1" fontId="13" fillId="2" borderId="3" xfId="0" applyNumberFormat="1" applyFont="1" applyFill="1" applyBorder="1"/>
    <xf numFmtId="1" fontId="13" fillId="0" borderId="0" xfId="0" applyNumberFormat="1" applyFont="1"/>
    <xf numFmtId="0" fontId="15" fillId="2" borderId="37" xfId="0" applyFont="1" applyFill="1" applyBorder="1" applyAlignment="1">
      <alignment vertical="center" wrapText="1"/>
    </xf>
    <xf numFmtId="164" fontId="13" fillId="0" borderId="43" xfId="0" applyNumberFormat="1" applyFont="1" applyBorder="1"/>
    <xf numFmtId="165" fontId="13" fillId="2" borderId="1" xfId="0" applyNumberFormat="1" applyFont="1" applyFill="1" applyBorder="1"/>
    <xf numFmtId="0" fontId="18" fillId="2" borderId="45" xfId="0" applyFont="1" applyFill="1" applyBorder="1" applyAlignment="1">
      <alignment vertical="center" wrapText="1"/>
    </xf>
    <xf numFmtId="0" fontId="18" fillId="4" borderId="4" xfId="0" applyFont="1" applyFill="1" applyBorder="1" applyAlignment="1">
      <alignment vertical="center" wrapText="1"/>
    </xf>
    <xf numFmtId="0" fontId="18" fillId="2" borderId="6" xfId="0" applyFont="1" applyFill="1" applyBorder="1" applyAlignment="1">
      <alignment vertical="center" wrapText="1"/>
    </xf>
    <xf numFmtId="0" fontId="15" fillId="3" borderId="20" xfId="0" applyFont="1" applyFill="1" applyBorder="1" applyAlignment="1">
      <alignment vertical="center" wrapText="1"/>
    </xf>
    <xf numFmtId="0" fontId="13" fillId="0" borderId="1" xfId="0" applyFont="1" applyBorder="1"/>
    <xf numFmtId="0" fontId="0" fillId="0" borderId="1" xfId="0" applyFont="1" applyBorder="1" applyAlignment="1"/>
    <xf numFmtId="0" fontId="13" fillId="0" borderId="0" xfId="0" applyFont="1" applyAlignment="1">
      <alignment vertical="center"/>
    </xf>
    <xf numFmtId="164" fontId="0" fillId="0" borderId="0" xfId="0" applyNumberFormat="1" applyFont="1" applyAlignment="1"/>
    <xf numFmtId="0" fontId="37" fillId="0" borderId="0" xfId="0" applyFont="1" applyAlignment="1"/>
    <xf numFmtId="0" fontId="39" fillId="17" borderId="1" xfId="0" applyFont="1" applyFill="1" applyBorder="1" applyAlignment="1">
      <alignment horizontal="right" vertical="center" wrapText="1"/>
    </xf>
    <xf numFmtId="0" fontId="39" fillId="0" borderId="1" xfId="0" applyFont="1" applyBorder="1" applyAlignment="1">
      <alignment horizontal="right" vertical="center" wrapText="1"/>
    </xf>
    <xf numFmtId="0" fontId="39" fillId="0" borderId="1" xfId="0" applyFont="1" applyBorder="1" applyAlignment="1">
      <alignment horizontal="center" vertical="center" wrapText="1"/>
    </xf>
    <xf numFmtId="0" fontId="39" fillId="0" borderId="1" xfId="0" applyFont="1" applyBorder="1" applyAlignment="1">
      <alignment vertical="center"/>
    </xf>
    <xf numFmtId="0" fontId="37" fillId="0" borderId="0" xfId="0" applyFont="1" applyAlignment="1">
      <alignment vertical="top"/>
    </xf>
    <xf numFmtId="164" fontId="40" fillId="0" borderId="0" xfId="0" applyNumberFormat="1" applyFont="1" applyAlignment="1"/>
    <xf numFmtId="0" fontId="40" fillId="0" borderId="0" xfId="0" applyFont="1" applyAlignment="1"/>
    <xf numFmtId="0" fontId="40" fillId="0" borderId="1" xfId="0" applyFont="1" applyFill="1" applyBorder="1" applyAlignment="1"/>
    <xf numFmtId="164" fontId="41" fillId="0" borderId="0" xfId="0" applyNumberFormat="1" applyFont="1" applyAlignment="1"/>
    <xf numFmtId="0" fontId="0" fillId="0" borderId="0" xfId="0" applyFont="1" applyAlignment="1"/>
    <xf numFmtId="0" fontId="0" fillId="0" borderId="0" xfId="0" applyFont="1" applyAlignment="1"/>
    <xf numFmtId="2" fontId="0" fillId="0" borderId="0" xfId="0" applyNumberFormat="1" applyFont="1" applyAlignment="1"/>
    <xf numFmtId="0" fontId="42" fillId="0" borderId="0" xfId="0" applyFont="1" applyAlignment="1"/>
    <xf numFmtId="0" fontId="43" fillId="0" borderId="1" xfId="0" applyFont="1" applyFill="1" applyBorder="1" applyAlignment="1"/>
    <xf numFmtId="2" fontId="42" fillId="0" borderId="0" xfId="0" applyNumberFormat="1" applyFont="1" applyAlignment="1"/>
    <xf numFmtId="0" fontId="0" fillId="0" borderId="0" xfId="0" applyFont="1" applyAlignment="1"/>
    <xf numFmtId="0" fontId="0" fillId="0" borderId="0" xfId="0" applyFont="1" applyAlignment="1"/>
    <xf numFmtId="0" fontId="38" fillId="0" borderId="1" xfId="0" applyFont="1" applyBorder="1" applyAlignment="1">
      <alignment vertical="center" wrapText="1"/>
    </xf>
    <xf numFmtId="0" fontId="44" fillId="0" borderId="0" xfId="0" quotePrefix="1" applyFont="1" applyAlignment="1">
      <alignment horizontal="left" vertical="center" indent="4"/>
    </xf>
    <xf numFmtId="0" fontId="0" fillId="0" borderId="0" xfId="0" applyFont="1" applyAlignment="1"/>
    <xf numFmtId="164" fontId="37" fillId="0" borderId="0" xfId="0" applyNumberFormat="1" applyFont="1" applyAlignment="1"/>
    <xf numFmtId="0" fontId="0" fillId="0" borderId="0" xfId="0" applyFont="1" applyAlignment="1"/>
    <xf numFmtId="165" fontId="37" fillId="0" borderId="0" xfId="0" applyNumberFormat="1" applyFont="1" applyAlignment="1"/>
    <xf numFmtId="1" fontId="42" fillId="0" borderId="0" xfId="0" applyNumberFormat="1" applyFont="1" applyAlignment="1"/>
    <xf numFmtId="0" fontId="0" fillId="0" borderId="0" xfId="0" applyFont="1" applyAlignment="1"/>
    <xf numFmtId="0" fontId="0" fillId="0" borderId="0" xfId="0" applyFont="1" applyAlignment="1"/>
    <xf numFmtId="0" fontId="0" fillId="0" borderId="0" xfId="0" applyFont="1" applyAlignment="1"/>
    <xf numFmtId="0" fontId="11" fillId="0" borderId="1" xfId="4"/>
    <xf numFmtId="0" fontId="13" fillId="0" borderId="1" xfId="4" applyFont="1"/>
    <xf numFmtId="0" fontId="13" fillId="0" borderId="17" xfId="4" applyFont="1" applyBorder="1"/>
    <xf numFmtId="0" fontId="13" fillId="0" borderId="18" xfId="4" applyFont="1" applyBorder="1"/>
    <xf numFmtId="0" fontId="13" fillId="0" borderId="21" xfId="4" applyFont="1" applyBorder="1"/>
    <xf numFmtId="0" fontId="13" fillId="0" borderId="28" xfId="4" applyFont="1" applyBorder="1"/>
    <xf numFmtId="0" fontId="13" fillId="4" borderId="1" xfId="4" applyFont="1" applyFill="1"/>
    <xf numFmtId="164" fontId="13" fillId="0" borderId="1" xfId="4" applyNumberFormat="1" applyFont="1"/>
    <xf numFmtId="0" fontId="13" fillId="0" borderId="36" xfId="4" applyFont="1" applyBorder="1"/>
    <xf numFmtId="0" fontId="13" fillId="0" borderId="39" xfId="4" applyFont="1" applyBorder="1"/>
    <xf numFmtId="0" fontId="16" fillId="0" borderId="1" xfId="4" applyFont="1"/>
    <xf numFmtId="0" fontId="47" fillId="0" borderId="1" xfId="4" applyFont="1" applyAlignment="1">
      <alignment vertical="center"/>
    </xf>
    <xf numFmtId="0" fontId="48" fillId="0" borderId="1" xfId="4" applyFont="1"/>
    <xf numFmtId="0" fontId="11" fillId="12" borderId="1" xfId="4" applyFill="1"/>
    <xf numFmtId="0" fontId="11" fillId="13" borderId="1" xfId="4" applyFill="1"/>
    <xf numFmtId="0" fontId="50" fillId="0" borderId="1" xfId="4" applyFont="1"/>
    <xf numFmtId="0" fontId="11" fillId="18" borderId="1" xfId="4" applyFill="1"/>
    <xf numFmtId="0" fontId="51" fillId="0" borderId="1" xfId="4" applyFont="1" applyAlignment="1">
      <alignment vertical="center"/>
    </xf>
    <xf numFmtId="2" fontId="11" fillId="0" borderId="1" xfId="4" applyNumberFormat="1"/>
    <xf numFmtId="1" fontId="11" fillId="0" borderId="1" xfId="4" applyNumberFormat="1"/>
    <xf numFmtId="0" fontId="38" fillId="0" borderId="1" xfId="4" applyFont="1"/>
    <xf numFmtId="0" fontId="28" fillId="0" borderId="1" xfId="4" applyFont="1"/>
    <xf numFmtId="0" fontId="42" fillId="0" borderId="1" xfId="4" applyFont="1"/>
    <xf numFmtId="0" fontId="37" fillId="0" borderId="1" xfId="0" applyFont="1" applyFill="1" applyBorder="1" applyAlignment="1"/>
    <xf numFmtId="0" fontId="42" fillId="0" borderId="1" xfId="0" applyFont="1" applyFill="1" applyBorder="1" applyAlignment="1"/>
    <xf numFmtId="0" fontId="42" fillId="0" borderId="0" xfId="0" applyFont="1" applyAlignment="1">
      <alignment vertical="top" wrapText="1"/>
    </xf>
    <xf numFmtId="0" fontId="0" fillId="0" borderId="0" xfId="0" applyFont="1" applyAlignment="1"/>
    <xf numFmtId="0" fontId="52" fillId="0" borderId="1" xfId="0" applyFont="1" applyFill="1" applyBorder="1" applyAlignment="1"/>
    <xf numFmtId="0" fontId="46" fillId="0" borderId="0" xfId="0" applyFont="1" applyAlignment="1">
      <alignment vertical="top"/>
    </xf>
    <xf numFmtId="0" fontId="0" fillId="0" borderId="0" xfId="0" applyFont="1" applyAlignment="1"/>
    <xf numFmtId="0" fontId="27" fillId="0" borderId="0" xfId="0" applyFont="1"/>
    <xf numFmtId="0" fontId="0" fillId="0" borderId="0" xfId="0" applyFont="1" applyAlignment="1"/>
    <xf numFmtId="0" fontId="10" fillId="0" borderId="1" xfId="4" applyFont="1"/>
    <xf numFmtId="0" fontId="13" fillId="12" borderId="0" xfId="0" applyFont="1" applyFill="1"/>
    <xf numFmtId="0" fontId="13" fillId="11" borderId="1" xfId="0" applyFont="1" applyFill="1" applyBorder="1"/>
    <xf numFmtId="168" fontId="11" fillId="0" borderId="1" xfId="3" applyNumberFormat="1" applyFont="1" applyBorder="1"/>
    <xf numFmtId="164" fontId="11" fillId="0" borderId="1" xfId="4" applyNumberFormat="1"/>
    <xf numFmtId="9" fontId="42" fillId="0" borderId="0" xfId="0" applyNumberFormat="1" applyFont="1" applyAlignment="1"/>
    <xf numFmtId="164" fontId="37" fillId="0" borderId="0" xfId="0" applyNumberFormat="1" applyFont="1" applyFill="1" applyAlignment="1"/>
    <xf numFmtId="0" fontId="37" fillId="0" borderId="0" xfId="0" applyFont="1" applyFill="1" applyAlignment="1"/>
    <xf numFmtId="0" fontId="56" fillId="0" borderId="0" xfId="0" applyFont="1" applyAlignment="1">
      <alignment vertical="center"/>
    </xf>
    <xf numFmtId="0" fontId="53" fillId="0" borderId="0" xfId="0" applyFont="1" applyAlignment="1">
      <alignment vertical="center"/>
    </xf>
    <xf numFmtId="0" fontId="9" fillId="0" borderId="1" xfId="4" applyFont="1"/>
    <xf numFmtId="0" fontId="57" fillId="0" borderId="0" xfId="0" applyFont="1" applyAlignment="1">
      <alignment vertical="center"/>
    </xf>
    <xf numFmtId="0" fontId="0" fillId="0" borderId="0" xfId="0" applyFont="1" applyAlignment="1"/>
    <xf numFmtId="0" fontId="0" fillId="0" borderId="0" xfId="0" applyFont="1" applyAlignment="1"/>
    <xf numFmtId="164" fontId="58" fillId="19" borderId="0" xfId="5" applyNumberFormat="1" applyAlignment="1"/>
    <xf numFmtId="0" fontId="58" fillId="19" borderId="0" xfId="5" applyAlignment="1"/>
    <xf numFmtId="0" fontId="0" fillId="0" borderId="0" xfId="0" applyFont="1" applyAlignment="1"/>
    <xf numFmtId="0" fontId="59" fillId="0" borderId="1" xfId="6"/>
    <xf numFmtId="0" fontId="60" fillId="0" borderId="1" xfId="6" applyFont="1"/>
    <xf numFmtId="0" fontId="59" fillId="0" borderId="1" xfId="6"/>
    <xf numFmtId="0" fontId="13" fillId="0" borderId="1" xfId="6" applyFont="1"/>
    <xf numFmtId="0" fontId="37" fillId="0" borderId="1" xfId="6" applyFont="1"/>
    <xf numFmtId="0" fontId="60" fillId="15" borderId="1" xfId="6" applyFont="1" applyFill="1"/>
    <xf numFmtId="0" fontId="37" fillId="0" borderId="1" xfId="6" quotePrefix="1" applyFont="1"/>
    <xf numFmtId="0" fontId="62" fillId="0" borderId="1" xfId="6" applyFont="1"/>
    <xf numFmtId="0" fontId="64" fillId="20" borderId="29" xfId="6" applyFont="1" applyFill="1" applyBorder="1" applyAlignment="1">
      <alignment horizontal="right"/>
    </xf>
    <xf numFmtId="0" fontId="64" fillId="20" borderId="25" xfId="6" applyFont="1" applyFill="1" applyBorder="1"/>
    <xf numFmtId="0" fontId="64" fillId="0" borderId="1" xfId="6" applyFont="1"/>
    <xf numFmtId="164" fontId="60" fillId="20" borderId="1" xfId="6" applyNumberFormat="1" applyFont="1" applyFill="1"/>
    <xf numFmtId="0" fontId="60" fillId="21" borderId="1" xfId="6" applyFont="1" applyFill="1" applyAlignment="1">
      <alignment horizontal="right"/>
    </xf>
    <xf numFmtId="0" fontId="60" fillId="22" borderId="1" xfId="6" applyFont="1" applyFill="1" applyAlignment="1">
      <alignment horizontal="right"/>
    </xf>
    <xf numFmtId="0" fontId="60" fillId="5" borderId="1" xfId="6" applyFont="1" applyFill="1" applyAlignment="1">
      <alignment horizontal="right"/>
    </xf>
    <xf numFmtId="0" fontId="60" fillId="21" borderId="1" xfId="6" applyFont="1" applyFill="1"/>
    <xf numFmtId="0" fontId="64" fillId="20" borderId="33" xfId="6" applyFont="1" applyFill="1" applyBorder="1" applyAlignment="1">
      <alignment horizontal="right"/>
    </xf>
    <xf numFmtId="0" fontId="60" fillId="20" borderId="1" xfId="6" applyFont="1" applyFill="1"/>
    <xf numFmtId="0" fontId="60" fillId="22" borderId="1" xfId="6" applyFont="1" applyFill="1"/>
    <xf numFmtId="0" fontId="60" fillId="5" borderId="1" xfId="6" applyFont="1" applyFill="1"/>
    <xf numFmtId="0" fontId="65" fillId="20" borderId="1" xfId="6" applyFont="1" applyFill="1" applyAlignment="1">
      <alignment horizontal="right"/>
    </xf>
    <xf numFmtId="0" fontId="65" fillId="23" borderId="1" xfId="6" applyFont="1" applyFill="1" applyAlignment="1">
      <alignment horizontal="right"/>
    </xf>
    <xf numFmtId="0" fontId="60" fillId="4" borderId="1" xfId="6" applyFont="1" applyFill="1"/>
    <xf numFmtId="0" fontId="60" fillId="24" borderId="1" xfId="6" applyFont="1" applyFill="1"/>
    <xf numFmtId="0" fontId="26" fillId="0" borderId="0" xfId="0" applyFont="1" applyAlignment="1">
      <alignment vertical="top" wrapText="1"/>
    </xf>
    <xf numFmtId="0" fontId="34" fillId="0" borderId="1" xfId="6" applyFont="1"/>
    <xf numFmtId="0" fontId="59" fillId="15" borderId="1" xfId="6" applyFill="1"/>
    <xf numFmtId="0" fontId="0" fillId="0" borderId="0" xfId="0" applyFont="1" applyAlignment="1"/>
    <xf numFmtId="0" fontId="27" fillId="0" borderId="1" xfId="6" applyFont="1"/>
    <xf numFmtId="0" fontId="60" fillId="0" borderId="56" xfId="6" applyFont="1" applyBorder="1"/>
    <xf numFmtId="0" fontId="11" fillId="0" borderId="56" xfId="4" applyBorder="1"/>
    <xf numFmtId="0" fontId="60" fillId="0" borderId="57" xfId="6" applyFont="1" applyBorder="1"/>
    <xf numFmtId="0" fontId="13" fillId="0" borderId="58" xfId="6" applyFont="1" applyBorder="1"/>
    <xf numFmtId="0" fontId="60" fillId="0" borderId="1" xfId="6" applyFont="1" applyBorder="1"/>
    <xf numFmtId="0" fontId="13" fillId="0" borderId="1" xfId="6" applyFont="1" applyBorder="1"/>
    <xf numFmtId="0" fontId="60" fillId="0" borderId="47" xfId="6" applyFont="1" applyBorder="1"/>
    <xf numFmtId="0" fontId="8" fillId="0" borderId="58" xfId="4" applyFont="1" applyBorder="1"/>
    <xf numFmtId="9" fontId="13" fillId="0" borderId="1" xfId="6" applyNumberFormat="1" applyFont="1" applyBorder="1"/>
    <xf numFmtId="0" fontId="11" fillId="0" borderId="1" xfId="4" applyBorder="1"/>
    <xf numFmtId="0" fontId="60" fillId="14" borderId="1" xfId="6" applyFont="1" applyFill="1" applyBorder="1"/>
    <xf numFmtId="1" fontId="60" fillId="12" borderId="47" xfId="6" applyNumberFormat="1" applyFont="1" applyFill="1" applyBorder="1"/>
    <xf numFmtId="1" fontId="60" fillId="0" borderId="1" xfId="6" applyNumberFormat="1" applyFont="1" applyBorder="1"/>
    <xf numFmtId="0" fontId="37" fillId="0" borderId="58" xfId="6" applyFont="1" applyBorder="1"/>
    <xf numFmtId="165" fontId="60" fillId="0" borderId="1" xfId="6" applyNumberFormat="1" applyFont="1" applyBorder="1"/>
    <xf numFmtId="165" fontId="60" fillId="14" borderId="1" xfId="6" applyNumberFormat="1" applyFont="1" applyFill="1" applyBorder="1"/>
    <xf numFmtId="165" fontId="60" fillId="12" borderId="47" xfId="6" applyNumberFormat="1" applyFont="1" applyFill="1" applyBorder="1"/>
    <xf numFmtId="165" fontId="60" fillId="0" borderId="47" xfId="6" applyNumberFormat="1" applyFont="1" applyBorder="1"/>
    <xf numFmtId="0" fontId="29" fillId="0" borderId="1" xfId="6" applyFont="1" applyBorder="1" applyAlignment="1">
      <alignment vertical="center"/>
    </xf>
    <xf numFmtId="0" fontId="59" fillId="0" borderId="47" xfId="6" applyBorder="1"/>
    <xf numFmtId="0" fontId="60" fillId="0" borderId="60" xfId="6" applyFont="1" applyBorder="1"/>
    <xf numFmtId="0" fontId="37" fillId="0" borderId="1" xfId="6" quotePrefix="1" applyFont="1" applyBorder="1"/>
    <xf numFmtId="0" fontId="13" fillId="0" borderId="55" xfId="6" quotePrefix="1" applyFont="1" applyBorder="1"/>
    <xf numFmtId="0" fontId="13" fillId="0" borderId="59" xfId="6" applyFont="1" applyBorder="1"/>
    <xf numFmtId="0" fontId="59" fillId="0" borderId="60" xfId="6" applyBorder="1"/>
    <xf numFmtId="0" fontId="60" fillId="0" borderId="46" xfId="6" applyFont="1" applyBorder="1"/>
    <xf numFmtId="0" fontId="60" fillId="0" borderId="51" xfId="6" applyFont="1" applyBorder="1" applyAlignment="1"/>
    <xf numFmtId="0" fontId="61" fillId="0" borderId="52" xfId="6" applyFont="1" applyBorder="1" applyAlignment="1"/>
    <xf numFmtId="0" fontId="7" fillId="0" borderId="58" xfId="4" applyFont="1" applyBorder="1"/>
    <xf numFmtId="0" fontId="7" fillId="0" borderId="1" xfId="4" applyFont="1"/>
    <xf numFmtId="165" fontId="60" fillId="5" borderId="1" xfId="6" applyNumberFormat="1" applyFont="1" applyFill="1"/>
    <xf numFmtId="2" fontId="59" fillId="0" borderId="1" xfId="6" applyNumberFormat="1"/>
    <xf numFmtId="0" fontId="7" fillId="12" borderId="1" xfId="4" applyFont="1" applyFill="1"/>
    <xf numFmtId="2" fontId="59" fillId="12" borderId="1" xfId="6" applyNumberFormat="1" applyFill="1"/>
    <xf numFmtId="9" fontId="59" fillId="0" borderId="1" xfId="1" applyFont="1" applyBorder="1"/>
    <xf numFmtId="0" fontId="13" fillId="24" borderId="1" xfId="6" applyFont="1" applyFill="1"/>
    <xf numFmtId="0" fontId="59" fillId="0" borderId="1" xfId="6"/>
    <xf numFmtId="0" fontId="11" fillId="0" borderId="60" xfId="4" applyBorder="1"/>
    <xf numFmtId="1" fontId="11" fillId="12" borderId="60" xfId="4" applyNumberFormat="1" applyFill="1" applyBorder="1"/>
    <xf numFmtId="0" fontId="11" fillId="0" borderId="57" xfId="4" applyBorder="1"/>
    <xf numFmtId="0" fontId="7" fillId="0" borderId="47" xfId="4" applyFont="1" applyBorder="1"/>
    <xf numFmtId="0" fontId="13" fillId="0" borderId="47" xfId="6" applyFont="1" applyBorder="1"/>
    <xf numFmtId="0" fontId="11" fillId="0" borderId="47" xfId="4" applyBorder="1"/>
    <xf numFmtId="0" fontId="37" fillId="14" borderId="1" xfId="6" applyFont="1" applyFill="1" applyBorder="1"/>
    <xf numFmtId="0" fontId="37" fillId="14" borderId="58" xfId="6" applyFont="1" applyFill="1" applyBorder="1"/>
    <xf numFmtId="0" fontId="37" fillId="0" borderId="1" xfId="6" applyFont="1" applyBorder="1"/>
    <xf numFmtId="0" fontId="11" fillId="0" borderId="58" xfId="4" applyBorder="1"/>
    <xf numFmtId="0" fontId="11" fillId="0" borderId="59" xfId="4" applyBorder="1"/>
    <xf numFmtId="9" fontId="13" fillId="0" borderId="60" xfId="6" applyNumberFormat="1" applyFont="1" applyBorder="1"/>
    <xf numFmtId="0" fontId="11" fillId="0" borderId="46" xfId="4" applyBorder="1"/>
    <xf numFmtId="0" fontId="0" fillId="0" borderId="0" xfId="0" applyFont="1" applyAlignment="1"/>
    <xf numFmtId="0" fontId="0" fillId="0" borderId="0" xfId="0" applyFont="1" applyAlignment="1"/>
    <xf numFmtId="0" fontId="6" fillId="0" borderId="1" xfId="4" applyFont="1"/>
    <xf numFmtId="2" fontId="11" fillId="12" borderId="1" xfId="4" applyNumberFormat="1" applyFill="1"/>
    <xf numFmtId="0" fontId="51" fillId="0" borderId="0" xfId="0" applyFont="1" applyAlignment="1">
      <alignment vertical="center"/>
    </xf>
    <xf numFmtId="9" fontId="11" fillId="0" borderId="1" xfId="4" applyNumberFormat="1"/>
    <xf numFmtId="0" fontId="5" fillId="0" borderId="1" xfId="4" applyFont="1"/>
    <xf numFmtId="0" fontId="4" fillId="0" borderId="1" xfId="4" applyFont="1"/>
    <xf numFmtId="0" fontId="3" fillId="0" borderId="1" xfId="4" applyFont="1"/>
    <xf numFmtId="0" fontId="0" fillId="0" borderId="0" xfId="0" applyFont="1" applyAlignment="1"/>
    <xf numFmtId="0" fontId="0" fillId="0" borderId="0" xfId="0" applyFont="1" applyAlignment="1"/>
    <xf numFmtId="0" fontId="59" fillId="0" borderId="1" xfId="6"/>
    <xf numFmtId="0" fontId="68" fillId="0" borderId="0" xfId="0" applyFont="1" applyAlignment="1">
      <alignment vertical="top"/>
    </xf>
    <xf numFmtId="0" fontId="5" fillId="18" borderId="1" xfId="4" applyFont="1" applyFill="1" applyBorder="1"/>
    <xf numFmtId="0" fontId="11" fillId="18" borderId="1" xfId="4" applyFill="1" applyBorder="1"/>
    <xf numFmtId="164" fontId="60" fillId="18" borderId="1" xfId="6" applyNumberFormat="1" applyFont="1" applyFill="1" applyBorder="1"/>
    <xf numFmtId="0" fontId="2" fillId="0" borderId="1" xfId="4" applyFont="1"/>
    <xf numFmtId="0" fontId="1" fillId="0" borderId="1" xfId="4" applyFont="1"/>
    <xf numFmtId="0" fontId="0" fillId="0" borderId="0" xfId="0" applyFont="1" applyAlignment="1"/>
    <xf numFmtId="0" fontId="0" fillId="0" borderId="0" xfId="0" applyFont="1" applyAlignment="1"/>
    <xf numFmtId="0" fontId="26" fillId="0" borderId="0" xfId="0" applyFont="1" applyAlignment="1">
      <alignment horizontal="center" vertical="top" wrapText="1"/>
    </xf>
    <xf numFmtId="0" fontId="69" fillId="0" borderId="0" xfId="0" applyFont="1" applyAlignment="1"/>
    <xf numFmtId="2" fontId="69" fillId="0" borderId="0" xfId="0" applyNumberFormat="1" applyFont="1" applyAlignment="1"/>
    <xf numFmtId="0" fontId="43" fillId="0" borderId="0" xfId="0" applyFont="1" applyAlignment="1"/>
    <xf numFmtId="0" fontId="71" fillId="0" borderId="16" xfId="0" applyFont="1" applyBorder="1" applyAlignment="1">
      <alignment horizontal="center" vertical="center" wrapText="1"/>
    </xf>
    <xf numFmtId="0" fontId="71" fillId="0" borderId="15" xfId="0" applyFont="1" applyBorder="1" applyAlignment="1">
      <alignment vertical="top" wrapText="1"/>
    </xf>
    <xf numFmtId="0" fontId="71" fillId="0" borderId="16" xfId="0" applyFont="1" applyBorder="1" applyAlignment="1">
      <alignment vertical="top" wrapText="1"/>
    </xf>
    <xf numFmtId="0" fontId="71" fillId="0" borderId="1" xfId="0" applyFont="1" applyBorder="1" applyAlignment="1">
      <alignment vertical="top" wrapText="1"/>
    </xf>
    <xf numFmtId="0" fontId="70" fillId="0" borderId="15" xfId="0" applyFont="1" applyBorder="1" applyAlignment="1">
      <alignment vertical="top" wrapText="1"/>
    </xf>
    <xf numFmtId="0" fontId="70" fillId="0" borderId="1" xfId="0" applyFont="1" applyBorder="1" applyAlignment="1">
      <alignment vertical="top" wrapText="1"/>
    </xf>
    <xf numFmtId="0" fontId="40" fillId="0" borderId="0" xfId="0" applyFont="1" applyAlignment="1">
      <alignment vertical="top"/>
    </xf>
    <xf numFmtId="0" fontId="72" fillId="0" borderId="0" xfId="0" applyFont="1" applyFill="1" applyAlignment="1"/>
    <xf numFmtId="0" fontId="74" fillId="0" borderId="1" xfId="0" applyFont="1" applyFill="1" applyBorder="1" applyAlignment="1">
      <alignment horizontal="center" vertical="center" wrapText="1"/>
    </xf>
    <xf numFmtId="0" fontId="75" fillId="0" borderId="1" xfId="0" applyFont="1" applyFill="1" applyBorder="1" applyAlignment="1">
      <alignment vertical="center"/>
    </xf>
    <xf numFmtId="0" fontId="17" fillId="0" borderId="0" xfId="0" applyFont="1" applyFill="1" applyAlignment="1"/>
    <xf numFmtId="0" fontId="40" fillId="0" borderId="1" xfId="0" applyFont="1" applyBorder="1" applyAlignment="1"/>
    <xf numFmtId="0" fontId="74" fillId="0" borderId="53" xfId="0" applyFont="1" applyFill="1" applyBorder="1" applyAlignment="1">
      <alignment vertical="center" wrapText="1"/>
    </xf>
    <xf numFmtId="9" fontId="71" fillId="17" borderId="53" xfId="0" applyNumberFormat="1" applyFont="1" applyFill="1" applyBorder="1" applyAlignment="1">
      <alignment horizontal="right" vertical="center" wrapText="1"/>
    </xf>
    <xf numFmtId="9" fontId="71" fillId="0" borderId="53" xfId="1" applyFont="1" applyBorder="1" applyAlignment="1">
      <alignment horizontal="right" vertical="center" wrapText="1"/>
    </xf>
    <xf numFmtId="0" fontId="74" fillId="0" borderId="53" xfId="0" applyFont="1" applyFill="1" applyBorder="1" applyAlignment="1">
      <alignment vertical="center"/>
    </xf>
    <xf numFmtId="9" fontId="71" fillId="0" borderId="53" xfId="1" applyFont="1" applyBorder="1" applyAlignment="1">
      <alignment horizontal="right" vertical="center"/>
    </xf>
    <xf numFmtId="0" fontId="74" fillId="0" borderId="1" xfId="0" applyFont="1" applyFill="1" applyBorder="1" applyAlignment="1">
      <alignment vertical="center"/>
    </xf>
    <xf numFmtId="0" fontId="71" fillId="0" borderId="1" xfId="0" applyFont="1" applyBorder="1" applyAlignment="1">
      <alignment horizontal="right" vertical="center" wrapText="1"/>
    </xf>
    <xf numFmtId="165" fontId="40" fillId="0" borderId="0" xfId="0" applyNumberFormat="1" applyFont="1" applyAlignment="1"/>
    <xf numFmtId="1" fontId="43" fillId="0" borderId="0" xfId="0" applyNumberFormat="1" applyFont="1" applyAlignment="1"/>
    <xf numFmtId="0" fontId="73" fillId="0" borderId="0" xfId="0" applyFont="1" applyFill="1" applyAlignment="1">
      <alignment horizontal="center"/>
    </xf>
    <xf numFmtId="0" fontId="73" fillId="0" borderId="0" xfId="0" applyFont="1" applyFill="1" applyAlignment="1">
      <alignment horizontal="center" wrapText="1"/>
    </xf>
    <xf numFmtId="164" fontId="78" fillId="0" borderId="53" xfId="0" applyNumberFormat="1" applyFont="1" applyBorder="1" applyAlignment="1"/>
    <xf numFmtId="164" fontId="79" fillId="0" borderId="53" xfId="0" applyNumberFormat="1" applyFont="1" applyBorder="1" applyAlignment="1"/>
    <xf numFmtId="164" fontId="78" fillId="12" borderId="53" xfId="0" applyNumberFormat="1" applyFont="1" applyFill="1" applyBorder="1" applyAlignment="1"/>
    <xf numFmtId="165" fontId="78" fillId="12" borderId="53" xfId="0" applyNumberFormat="1" applyFont="1" applyFill="1" applyBorder="1" applyAlignment="1"/>
    <xf numFmtId="0" fontId="80" fillId="13" borderId="0" xfId="0" applyFont="1" applyFill="1" applyAlignment="1"/>
    <xf numFmtId="2" fontId="74" fillId="0" borderId="53" xfId="0" applyNumberFormat="1" applyFont="1" applyFill="1" applyBorder="1" applyAlignment="1">
      <alignment vertical="center" wrapText="1"/>
    </xf>
    <xf numFmtId="164" fontId="74" fillId="0" borderId="53" xfId="0" applyNumberFormat="1" applyFont="1" applyFill="1" applyBorder="1" applyAlignment="1">
      <alignment vertical="center" wrapText="1"/>
    </xf>
    <xf numFmtId="2" fontId="74" fillId="0" borderId="53" xfId="0" applyNumberFormat="1" applyFont="1" applyFill="1" applyBorder="1" applyAlignment="1">
      <alignment vertical="center"/>
    </xf>
    <xf numFmtId="2" fontId="76" fillId="0" borderId="53" xfId="0" applyNumberFormat="1" applyFont="1" applyFill="1" applyBorder="1" applyAlignment="1">
      <alignment vertical="center"/>
    </xf>
    <xf numFmtId="164" fontId="74" fillId="0" borderId="53" xfId="0" applyNumberFormat="1" applyFont="1" applyFill="1" applyBorder="1" applyAlignment="1">
      <alignment vertical="center"/>
    </xf>
    <xf numFmtId="164" fontId="76" fillId="0" borderId="53" xfId="0" applyNumberFormat="1" applyFont="1" applyFill="1" applyBorder="1" applyAlignment="1">
      <alignment vertical="center"/>
    </xf>
    <xf numFmtId="1" fontId="74" fillId="0" borderId="53" xfId="0" applyNumberFormat="1" applyFont="1" applyFill="1" applyBorder="1" applyAlignment="1">
      <alignment vertical="center"/>
    </xf>
    <xf numFmtId="1" fontId="74" fillId="0" borderId="53" xfId="0" applyNumberFormat="1" applyFont="1" applyFill="1" applyBorder="1" applyAlignment="1">
      <alignment vertical="center" wrapText="1"/>
    </xf>
    <xf numFmtId="0" fontId="0" fillId="0" borderId="60" xfId="0" applyFont="1" applyBorder="1" applyAlignment="1"/>
    <xf numFmtId="0" fontId="82" fillId="13" borderId="58" xfId="0" applyFont="1" applyFill="1" applyBorder="1" applyAlignment="1"/>
    <xf numFmtId="0" fontId="40" fillId="0" borderId="47" xfId="0" applyFont="1" applyBorder="1" applyAlignment="1"/>
    <xf numFmtId="0" fontId="72" fillId="0" borderId="58" xfId="0" applyFont="1" applyFill="1" applyBorder="1" applyAlignment="1"/>
    <xf numFmtId="164" fontId="40" fillId="0" borderId="47" xfId="0" applyNumberFormat="1" applyFont="1" applyBorder="1" applyAlignment="1"/>
    <xf numFmtId="0" fontId="82" fillId="13" borderId="59" xfId="0" applyFont="1" applyFill="1" applyBorder="1" applyAlignment="1"/>
    <xf numFmtId="164" fontId="40" fillId="0" borderId="46" xfId="0" applyNumberFormat="1" applyFont="1" applyBorder="1" applyAlignment="1"/>
    <xf numFmtId="0" fontId="74" fillId="0" borderId="60" xfId="0" applyFont="1" applyFill="1" applyBorder="1" applyAlignment="1">
      <alignment vertical="center"/>
    </xf>
    <xf numFmtId="0" fontId="40" fillId="0" borderId="60" xfId="0" applyFont="1" applyBorder="1" applyAlignment="1"/>
    <xf numFmtId="0" fontId="71" fillId="0" borderId="60" xfId="0" applyFont="1" applyBorder="1" applyAlignment="1">
      <alignment horizontal="right" vertical="center" wrapText="1"/>
    </xf>
    <xf numFmtId="0" fontId="71" fillId="0" borderId="1" xfId="0" applyFont="1" applyFill="1" applyBorder="1" applyAlignment="1">
      <alignment horizontal="right" vertical="center" wrapText="1"/>
    </xf>
    <xf numFmtId="0" fontId="71" fillId="0" borderId="60" xfId="0" applyFont="1" applyFill="1" applyBorder="1" applyAlignment="1">
      <alignment horizontal="right" vertical="center" wrapText="1"/>
    </xf>
    <xf numFmtId="0" fontId="73" fillId="0" borderId="1" xfId="0" applyFont="1" applyFill="1" applyBorder="1" applyAlignment="1">
      <alignment wrapText="1"/>
    </xf>
    <xf numFmtId="0" fontId="81" fillId="15" borderId="1" xfId="0" applyFont="1" applyFill="1" applyBorder="1" applyAlignment="1"/>
    <xf numFmtId="0" fontId="71" fillId="15" borderId="54" xfId="0" applyFont="1" applyFill="1" applyBorder="1" applyAlignment="1">
      <alignment horizontal="center" vertical="center"/>
    </xf>
    <xf numFmtId="0" fontId="73" fillId="0" borderId="63" xfId="0" applyFont="1" applyFill="1" applyBorder="1" applyAlignment="1">
      <alignment horizontal="center" wrapText="1"/>
    </xf>
    <xf numFmtId="0" fontId="74" fillId="0" borderId="63" xfId="0" applyFont="1" applyFill="1" applyBorder="1" applyAlignment="1">
      <alignment horizontal="center" vertical="center" wrapText="1"/>
    </xf>
    <xf numFmtId="0" fontId="73" fillId="0" borderId="64" xfId="0" applyFont="1" applyFill="1" applyBorder="1" applyAlignment="1">
      <alignment horizontal="center"/>
    </xf>
    <xf numFmtId="0" fontId="74" fillId="0" borderId="64" xfId="0" applyFont="1" applyFill="1" applyBorder="1" applyAlignment="1">
      <alignment horizontal="center" vertical="center" wrapText="1"/>
    </xf>
    <xf numFmtId="0" fontId="39" fillId="0" borderId="60" xfId="0" applyFont="1" applyBorder="1" applyAlignment="1">
      <alignment horizontal="right" vertical="center" wrapText="1"/>
    </xf>
    <xf numFmtId="0" fontId="0" fillId="0" borderId="0" xfId="0" applyFont="1" applyFill="1" applyAlignment="1"/>
    <xf numFmtId="0" fontId="42" fillId="0" borderId="0" xfId="0" applyFont="1" applyFill="1" applyAlignment="1"/>
    <xf numFmtId="0" fontId="42" fillId="0" borderId="60" xfId="0" applyFont="1" applyFill="1" applyBorder="1" applyAlignment="1"/>
    <xf numFmtId="0" fontId="0" fillId="0" borderId="60" xfId="0" applyFont="1" applyFill="1" applyBorder="1" applyAlignment="1"/>
    <xf numFmtId="0" fontId="78" fillId="25" borderId="54" xfId="0" applyFont="1" applyFill="1" applyBorder="1" applyAlignment="1"/>
    <xf numFmtId="0" fontId="0" fillId="0" borderId="0" xfId="0" applyFont="1" applyAlignment="1"/>
    <xf numFmtId="0" fontId="52" fillId="0" borderId="0" xfId="0" applyFont="1" applyFill="1" applyAlignment="1">
      <alignment vertical="top"/>
    </xf>
    <xf numFmtId="9" fontId="52" fillId="13" borderId="0" xfId="1" applyFont="1" applyFill="1" applyAlignment="1">
      <alignment vertical="top"/>
    </xf>
    <xf numFmtId="0" fontId="73" fillId="0" borderId="1" xfId="0" applyFont="1" applyFill="1" applyBorder="1" applyAlignment="1">
      <alignment vertical="top" wrapText="1"/>
    </xf>
    <xf numFmtId="0" fontId="73" fillId="0" borderId="64" xfId="0" applyFont="1" applyFill="1" applyBorder="1" applyAlignment="1">
      <alignment horizontal="center" vertical="top"/>
    </xf>
    <xf numFmtId="0" fontId="73" fillId="0" borderId="63" xfId="0" applyFont="1" applyFill="1" applyBorder="1" applyAlignment="1">
      <alignment horizontal="center" vertical="top" wrapText="1"/>
    </xf>
    <xf numFmtId="0" fontId="81" fillId="15" borderId="1" xfId="0" applyFont="1" applyFill="1" applyBorder="1" applyAlignment="1">
      <alignment vertical="top"/>
    </xf>
    <xf numFmtId="0" fontId="71" fillId="0" borderId="16" xfId="0" applyFont="1" applyBorder="1" applyAlignment="1">
      <alignment horizontal="center" vertical="top" wrapText="1"/>
    </xf>
    <xf numFmtId="0" fontId="73" fillId="0" borderId="0" xfId="0" applyFont="1" applyFill="1" applyAlignment="1">
      <alignment horizontal="center" vertical="top"/>
    </xf>
    <xf numFmtId="0" fontId="73" fillId="0" borderId="0" xfId="0" applyFont="1" applyFill="1" applyAlignment="1">
      <alignment horizontal="center" vertical="top" wrapText="1"/>
    </xf>
    <xf numFmtId="0" fontId="0" fillId="0" borderId="0" xfId="0" applyFont="1" applyAlignment="1">
      <alignment vertical="top"/>
    </xf>
    <xf numFmtId="0" fontId="37" fillId="0" borderId="1" xfId="0" applyFont="1" applyBorder="1" applyAlignment="1"/>
    <xf numFmtId="164" fontId="78" fillId="12" borderId="65" xfId="0" applyNumberFormat="1" applyFont="1" applyFill="1" applyBorder="1" applyAlignment="1"/>
    <xf numFmtId="9" fontId="13" fillId="0" borderId="1" xfId="0" applyNumberFormat="1" applyFont="1" applyBorder="1"/>
    <xf numFmtId="0" fontId="84" fillId="0" borderId="1" xfId="0" applyFont="1" applyBorder="1" applyAlignment="1"/>
    <xf numFmtId="0" fontId="84" fillId="3" borderId="1" xfId="0" applyFont="1" applyFill="1" applyBorder="1" applyAlignment="1">
      <alignment horizontal="left"/>
    </xf>
    <xf numFmtId="164" fontId="79" fillId="0" borderId="62" xfId="0" applyNumberFormat="1" applyFont="1" applyBorder="1" applyAlignment="1"/>
    <xf numFmtId="164" fontId="78" fillId="0" borderId="62" xfId="0" applyNumberFormat="1" applyFont="1" applyBorder="1" applyAlignment="1"/>
    <xf numFmtId="164" fontId="79" fillId="0" borderId="66" xfId="0" applyNumberFormat="1" applyFont="1" applyBorder="1" applyAlignment="1"/>
    <xf numFmtId="0" fontId="84" fillId="0" borderId="55" xfId="0" applyFont="1" applyBorder="1"/>
    <xf numFmtId="0" fontId="84" fillId="0" borderId="56" xfId="0" applyFont="1" applyBorder="1" applyAlignment="1"/>
    <xf numFmtId="0" fontId="85" fillId="0" borderId="57" xfId="0" applyFont="1" applyBorder="1" applyAlignment="1"/>
    <xf numFmtId="0" fontId="85" fillId="0" borderId="47" xfId="0" applyFont="1" applyBorder="1" applyAlignment="1"/>
    <xf numFmtId="0" fontId="84" fillId="0" borderId="47" xfId="0" applyFont="1" applyBorder="1" applyAlignment="1"/>
    <xf numFmtId="0" fontId="84" fillId="0" borderId="47" xfId="0" applyFont="1" applyBorder="1"/>
    <xf numFmtId="0" fontId="67" fillId="0" borderId="60" xfId="0" applyFont="1" applyBorder="1" applyAlignment="1">
      <alignment vertical="top" wrapText="1"/>
    </xf>
    <xf numFmtId="0" fontId="67" fillId="0" borderId="46" xfId="0" applyFont="1" applyBorder="1" applyAlignment="1">
      <alignment vertical="top" wrapText="1"/>
    </xf>
    <xf numFmtId="0" fontId="86" fillId="0" borderId="67" xfId="0" applyFont="1" applyBorder="1" applyAlignment="1"/>
    <xf numFmtId="0" fontId="86" fillId="0" borderId="68" xfId="0" applyFont="1" applyBorder="1" applyAlignment="1"/>
    <xf numFmtId="0" fontId="86" fillId="0" borderId="69" xfId="0" applyFont="1" applyBorder="1"/>
    <xf numFmtId="0" fontId="86" fillId="0" borderId="70" xfId="0" applyFont="1" applyBorder="1"/>
    <xf numFmtId="0" fontId="86" fillId="0" borderId="71" xfId="0" applyFont="1" applyBorder="1"/>
    <xf numFmtId="0" fontId="86" fillId="0" borderId="72" xfId="0" applyFont="1" applyBorder="1"/>
    <xf numFmtId="2" fontId="85" fillId="12" borderId="58" xfId="0" applyNumberFormat="1" applyFont="1" applyFill="1" applyBorder="1" applyAlignment="1">
      <alignment horizontal="right"/>
    </xf>
    <xf numFmtId="0" fontId="87" fillId="0" borderId="0" xfId="0" applyFont="1" applyAlignment="1"/>
    <xf numFmtId="164" fontId="88" fillId="0" borderId="53" xfId="0" applyNumberFormat="1" applyFont="1" applyBorder="1" applyAlignment="1"/>
    <xf numFmtId="0" fontId="37" fillId="0" borderId="60" xfId="0" applyFont="1" applyBorder="1" applyAlignment="1"/>
    <xf numFmtId="0" fontId="71" fillId="0" borderId="1" xfId="0" applyFont="1" applyBorder="1" applyAlignment="1">
      <alignment horizontal="center" vertical="top" wrapText="1"/>
    </xf>
    <xf numFmtId="0" fontId="73" fillId="0" borderId="1" xfId="0" applyFont="1" applyFill="1" applyBorder="1" applyAlignment="1">
      <alignment horizontal="center" vertical="top"/>
    </xf>
    <xf numFmtId="0" fontId="78" fillId="0" borderId="56" xfId="0" applyFont="1" applyBorder="1" applyAlignment="1">
      <alignment vertical="center" wrapText="1"/>
    </xf>
    <xf numFmtId="0" fontId="78" fillId="0" borderId="1" xfId="0" applyFont="1" applyBorder="1" applyAlignment="1">
      <alignment vertical="center" wrapText="1"/>
    </xf>
    <xf numFmtId="0" fontId="78" fillId="0" borderId="60" xfId="0" applyFont="1" applyBorder="1" applyAlignment="1">
      <alignment vertical="center" wrapText="1"/>
    </xf>
    <xf numFmtId="164" fontId="81" fillId="0" borderId="1" xfId="0" applyNumberFormat="1" applyFont="1" applyBorder="1" applyAlignment="1"/>
    <xf numFmtId="0" fontId="81" fillId="0" borderId="1" xfId="0" applyFont="1" applyBorder="1" applyAlignment="1"/>
    <xf numFmtId="1" fontId="81" fillId="0" borderId="58" xfId="0" applyNumberFormat="1" applyFont="1" applyBorder="1" applyAlignment="1"/>
    <xf numFmtId="0" fontId="90" fillId="0" borderId="1" xfId="0" applyFont="1" applyBorder="1" applyAlignment="1"/>
    <xf numFmtId="0" fontId="81" fillId="0" borderId="60" xfId="0" applyFont="1" applyBorder="1" applyAlignment="1"/>
    <xf numFmtId="2" fontId="81" fillId="13" borderId="58" xfId="0" applyNumberFormat="1" applyFont="1" applyFill="1" applyBorder="1" applyAlignment="1"/>
    <xf numFmtId="0" fontId="37" fillId="0" borderId="47" xfId="0" applyFont="1" applyBorder="1" applyAlignment="1"/>
    <xf numFmtId="0" fontId="71" fillId="26" borderId="56" xfId="0" applyFont="1" applyFill="1" applyBorder="1" applyAlignment="1">
      <alignment horizontal="left" vertical="center" wrapText="1"/>
    </xf>
    <xf numFmtId="0" fontId="71" fillId="26" borderId="57" xfId="0" applyFont="1" applyFill="1" applyBorder="1" applyAlignment="1">
      <alignment horizontal="left" vertical="center" wrapText="1"/>
    </xf>
    <xf numFmtId="0" fontId="71" fillId="26" borderId="1" xfId="0" applyFont="1" applyFill="1" applyBorder="1" applyAlignment="1">
      <alignment horizontal="left" vertical="center" wrapText="1"/>
    </xf>
    <xf numFmtId="0" fontId="71" fillId="26" borderId="47" xfId="0" applyFont="1" applyFill="1" applyBorder="1" applyAlignment="1">
      <alignment horizontal="left" vertical="center" wrapText="1"/>
    </xf>
    <xf numFmtId="0" fontId="71" fillId="26" borderId="60" xfId="0" applyFont="1" applyFill="1" applyBorder="1" applyAlignment="1">
      <alignment horizontal="left" vertical="center" wrapText="1"/>
    </xf>
    <xf numFmtId="0" fontId="81" fillId="0" borderId="0" xfId="0" applyFont="1" applyAlignment="1">
      <alignment vertical="center"/>
    </xf>
    <xf numFmtId="0" fontId="91" fillId="0" borderId="0" xfId="0" applyFont="1" applyAlignment="1"/>
    <xf numFmtId="2" fontId="91" fillId="0" borderId="0" xfId="0" applyNumberFormat="1" applyFont="1" applyAlignment="1"/>
    <xf numFmtId="164" fontId="40" fillId="0" borderId="46" xfId="0" applyNumberFormat="1" applyFont="1" applyBorder="1" applyAlignment="1">
      <alignment vertical="center" wrapText="1"/>
    </xf>
    <xf numFmtId="0" fontId="83" fillId="15" borderId="55" xfId="0" applyFont="1" applyFill="1" applyBorder="1" applyAlignment="1"/>
    <xf numFmtId="0" fontId="83" fillId="15" borderId="57" xfId="0" applyFont="1" applyFill="1" applyBorder="1" applyAlignment="1"/>
    <xf numFmtId="164" fontId="40" fillId="0" borderId="46" xfId="0" applyNumberFormat="1" applyFont="1" applyBorder="1" applyAlignment="1">
      <alignment horizontal="center" vertical="center" wrapText="1"/>
    </xf>
    <xf numFmtId="0" fontId="72" fillId="0" borderId="47" xfId="0" applyFont="1" applyFill="1" applyBorder="1" applyAlignment="1"/>
    <xf numFmtId="0" fontId="84" fillId="0" borderId="58" xfId="0" applyFont="1" applyBorder="1" applyAlignment="1">
      <alignment horizontal="left" wrapText="1"/>
    </xf>
    <xf numFmtId="0" fontId="84" fillId="0" borderId="59" xfId="0" applyFont="1" applyBorder="1" applyAlignment="1">
      <alignment horizontal="left" wrapText="1"/>
    </xf>
    <xf numFmtId="2" fontId="92" fillId="12" borderId="40" xfId="0" applyNumberFormat="1" applyFont="1" applyFill="1" applyBorder="1"/>
    <xf numFmtId="1" fontId="81" fillId="13" borderId="58" xfId="0" applyNumberFormat="1" applyFont="1" applyFill="1" applyBorder="1" applyAlignment="1"/>
    <xf numFmtId="0" fontId="27" fillId="0" borderId="1" xfId="0" applyFont="1" applyBorder="1"/>
    <xf numFmtId="9" fontId="27" fillId="0" borderId="58" xfId="0" applyNumberFormat="1" applyFont="1" applyFill="1" applyBorder="1"/>
    <xf numFmtId="1" fontId="27" fillId="2" borderId="47" xfId="0" applyNumberFormat="1" applyFont="1" applyFill="1" applyBorder="1"/>
    <xf numFmtId="0" fontId="27" fillId="0" borderId="60" xfId="0" applyFont="1" applyBorder="1"/>
    <xf numFmtId="1" fontId="27" fillId="2" borderId="46" xfId="0" applyNumberFormat="1" applyFont="1" applyFill="1" applyBorder="1"/>
    <xf numFmtId="0" fontId="93" fillId="0" borderId="48" xfId="0" applyFont="1" applyBorder="1" applyAlignment="1">
      <alignment vertical="center" wrapText="1"/>
    </xf>
    <xf numFmtId="0" fontId="93" fillId="0" borderId="15" xfId="0" applyFont="1" applyBorder="1" applyAlignment="1">
      <alignment vertical="center" wrapText="1"/>
    </xf>
    <xf numFmtId="0" fontId="93" fillId="0" borderId="49" xfId="0" applyFont="1" applyBorder="1" applyAlignment="1">
      <alignment vertical="center" wrapText="1"/>
    </xf>
    <xf numFmtId="0" fontId="93" fillId="0" borderId="16" xfId="0" applyFont="1" applyBorder="1" applyAlignment="1">
      <alignment vertical="center" wrapText="1"/>
    </xf>
    <xf numFmtId="0" fontId="93" fillId="0" borderId="1" xfId="0" applyFont="1" applyBorder="1" applyAlignment="1">
      <alignment vertical="center" wrapText="1"/>
    </xf>
    <xf numFmtId="0" fontId="93" fillId="0" borderId="47" xfId="0" applyFont="1" applyBorder="1" applyAlignment="1">
      <alignment vertical="center" wrapText="1"/>
    </xf>
    <xf numFmtId="0" fontId="93" fillId="14" borderId="49" xfId="0" applyFont="1" applyFill="1" applyBorder="1" applyAlignment="1">
      <alignment vertical="center" wrapText="1"/>
    </xf>
    <xf numFmtId="0" fontId="93" fillId="14" borderId="1" xfId="0" applyFont="1" applyFill="1" applyBorder="1" applyAlignment="1">
      <alignment vertical="center" wrapText="1"/>
    </xf>
    <xf numFmtId="0" fontId="93" fillId="14" borderId="15" xfId="0" applyFont="1" applyFill="1" applyBorder="1" applyAlignment="1">
      <alignment vertical="center" wrapText="1"/>
    </xf>
    <xf numFmtId="0" fontId="93" fillId="14" borderId="16" xfId="0" applyFont="1" applyFill="1" applyBorder="1" applyAlignment="1">
      <alignment vertical="center" wrapText="1"/>
    </xf>
    <xf numFmtId="0" fontId="0" fillId="0" borderId="0" xfId="0" applyFont="1" applyAlignment="1"/>
    <xf numFmtId="0" fontId="74" fillId="0" borderId="65" xfId="0" applyFont="1" applyFill="1" applyBorder="1" applyAlignment="1">
      <alignment vertical="center" wrapText="1"/>
    </xf>
    <xf numFmtId="164" fontId="74" fillId="0" borderId="65" xfId="0" applyNumberFormat="1" applyFont="1" applyFill="1" applyBorder="1" applyAlignment="1">
      <alignment vertical="center"/>
    </xf>
    <xf numFmtId="164" fontId="76" fillId="0" borderId="65" xfId="0" applyNumberFormat="1" applyFont="1" applyFill="1" applyBorder="1" applyAlignment="1">
      <alignment vertical="center"/>
    </xf>
    <xf numFmtId="164" fontId="74" fillId="0" borderId="65" xfId="0" applyNumberFormat="1" applyFont="1" applyFill="1" applyBorder="1" applyAlignment="1">
      <alignment vertical="center" wrapText="1"/>
    </xf>
    <xf numFmtId="2" fontId="76" fillId="0" borderId="65" xfId="0" applyNumberFormat="1" applyFont="1" applyFill="1" applyBorder="1" applyAlignment="1">
      <alignment vertical="center"/>
    </xf>
    <xf numFmtId="2" fontId="74" fillId="0" borderId="65" xfId="0" applyNumberFormat="1" applyFont="1" applyFill="1" applyBorder="1" applyAlignment="1">
      <alignment vertical="center" wrapText="1"/>
    </xf>
    <xf numFmtId="2" fontId="74" fillId="0" borderId="65" xfId="0" applyNumberFormat="1" applyFont="1" applyFill="1" applyBorder="1" applyAlignment="1">
      <alignment vertical="center"/>
    </xf>
    <xf numFmtId="9" fontId="71" fillId="17" borderId="74" xfId="0" applyNumberFormat="1" applyFont="1" applyFill="1" applyBorder="1" applyAlignment="1">
      <alignment horizontal="right" vertical="center" wrapText="1"/>
    </xf>
    <xf numFmtId="9" fontId="71" fillId="0" borderId="54" xfId="1" applyFont="1" applyBorder="1" applyAlignment="1">
      <alignment horizontal="right" vertical="center"/>
    </xf>
    <xf numFmtId="9" fontId="71" fillId="17" borderId="54" xfId="0" applyNumberFormat="1" applyFont="1" applyFill="1" applyBorder="1" applyAlignment="1">
      <alignment horizontal="right" vertical="center" wrapText="1"/>
    </xf>
    <xf numFmtId="0" fontId="71" fillId="0" borderId="75" xfId="0" applyFont="1" applyFill="1" applyBorder="1" applyAlignment="1">
      <alignment horizontal="right" vertical="center"/>
    </xf>
    <xf numFmtId="0" fontId="78" fillId="0" borderId="76" xfId="0" applyFont="1" applyBorder="1" applyAlignment="1"/>
    <xf numFmtId="0" fontId="78" fillId="0" borderId="77" xfId="0" applyFont="1" applyBorder="1" applyAlignment="1"/>
    <xf numFmtId="9" fontId="71" fillId="0" borderId="54" xfId="0" applyNumberFormat="1" applyFont="1" applyFill="1" applyBorder="1" applyAlignment="1">
      <alignment horizontal="right" vertical="center" wrapText="1"/>
    </xf>
    <xf numFmtId="1" fontId="71" fillId="0" borderId="75" xfId="0" applyNumberFormat="1" applyFont="1" applyFill="1" applyBorder="1" applyAlignment="1">
      <alignment horizontal="right" vertical="center"/>
    </xf>
    <xf numFmtId="1" fontId="78" fillId="0" borderId="76" xfId="0" applyNumberFormat="1" applyFont="1" applyBorder="1" applyAlignment="1"/>
    <xf numFmtId="164" fontId="79" fillId="0" borderId="65" xfId="0" applyNumberFormat="1" applyFont="1" applyBorder="1" applyAlignment="1"/>
    <xf numFmtId="165" fontId="78" fillId="12" borderId="65" xfId="0" applyNumberFormat="1" applyFont="1" applyFill="1" applyBorder="1" applyAlignment="1"/>
    <xf numFmtId="164" fontId="78" fillId="0" borderId="54" xfId="0" applyNumberFormat="1" applyFont="1" applyBorder="1" applyAlignment="1"/>
    <xf numFmtId="0" fontId="100" fillId="0" borderId="75" xfId="0" applyFont="1" applyFill="1" applyBorder="1" applyAlignment="1">
      <alignment horizontal="right" vertical="center"/>
    </xf>
    <xf numFmtId="164" fontId="81" fillId="0" borderId="58" xfId="0" applyNumberFormat="1" applyFont="1" applyBorder="1" applyAlignment="1"/>
    <xf numFmtId="1" fontId="78" fillId="0" borderId="78" xfId="0" applyNumberFormat="1" applyFont="1" applyFill="1" applyBorder="1" applyAlignment="1"/>
    <xf numFmtId="1" fontId="78" fillId="0" borderId="79" xfId="0" applyNumberFormat="1" applyFont="1" applyFill="1" applyBorder="1"/>
    <xf numFmtId="1" fontId="88" fillId="0" borderId="79" xfId="0" applyNumberFormat="1" applyFont="1" applyFill="1" applyBorder="1" applyAlignment="1"/>
    <xf numFmtId="1" fontId="78" fillId="0" borderId="79" xfId="0" applyNumberFormat="1" applyFont="1" applyFill="1" applyBorder="1" applyAlignment="1"/>
    <xf numFmtId="1" fontId="78" fillId="0" borderId="80" xfId="0" applyNumberFormat="1" applyFont="1" applyFill="1" applyBorder="1" applyAlignment="1"/>
    <xf numFmtId="0" fontId="88" fillId="0" borderId="76" xfId="0" applyFont="1" applyBorder="1" applyAlignment="1"/>
    <xf numFmtId="164" fontId="88" fillId="0" borderId="54" xfId="0" applyNumberFormat="1" applyFont="1" applyBorder="1" applyAlignment="1"/>
    <xf numFmtId="164" fontId="101" fillId="0" borderId="53" xfId="0" applyNumberFormat="1" applyFont="1" applyBorder="1" applyAlignment="1"/>
    <xf numFmtId="0" fontId="82" fillId="13" borderId="1" xfId="0" applyFont="1" applyFill="1" applyBorder="1" applyAlignment="1"/>
    <xf numFmtId="0" fontId="72" fillId="0" borderId="1" xfId="0" applyFont="1" applyFill="1" applyBorder="1" applyAlignment="1"/>
    <xf numFmtId="0" fontId="82" fillId="13" borderId="60" xfId="0" applyFont="1" applyFill="1" applyBorder="1" applyAlignment="1"/>
    <xf numFmtId="0" fontId="37" fillId="0" borderId="59" xfId="0" applyFont="1" applyBorder="1" applyAlignment="1"/>
    <xf numFmtId="164" fontId="40" fillId="0" borderId="46" xfId="0" applyNumberFormat="1" applyFont="1" applyBorder="1" applyAlignment="1">
      <alignment vertical="top" wrapText="1"/>
    </xf>
    <xf numFmtId="0" fontId="40" fillId="13" borderId="81" xfId="0" applyFont="1" applyFill="1" applyBorder="1" applyAlignment="1">
      <alignment horizontal="left"/>
    </xf>
    <xf numFmtId="0" fontId="37" fillId="0" borderId="58" xfId="0" applyFont="1" applyBorder="1" applyAlignment="1"/>
    <xf numFmtId="0" fontId="40" fillId="0" borderId="1" xfId="6" applyFont="1" applyAlignment="1"/>
    <xf numFmtId="9" fontId="40" fillId="13" borderId="0" xfId="0" applyNumberFormat="1" applyFont="1" applyFill="1" applyAlignment="1">
      <alignment horizontal="left"/>
    </xf>
    <xf numFmtId="1" fontId="82" fillId="0" borderId="58" xfId="0" applyNumberFormat="1" applyFont="1" applyFill="1" applyBorder="1" applyAlignment="1"/>
    <xf numFmtId="0" fontId="40" fillId="0" borderId="46" xfId="0" applyFont="1" applyBorder="1" applyAlignment="1"/>
    <xf numFmtId="9" fontId="71" fillId="13" borderId="54" xfId="1" applyFont="1" applyFill="1" applyBorder="1" applyAlignment="1">
      <alignment horizontal="right" vertical="center"/>
    </xf>
    <xf numFmtId="9" fontId="71" fillId="0" borderId="74" xfId="0" applyNumberFormat="1" applyFont="1" applyFill="1" applyBorder="1" applyAlignment="1">
      <alignment horizontal="right" vertical="center" wrapText="1"/>
    </xf>
    <xf numFmtId="0" fontId="39" fillId="0" borderId="60" xfId="0" applyFont="1" applyBorder="1" applyAlignment="1">
      <alignment vertical="center"/>
    </xf>
    <xf numFmtId="0" fontId="37" fillId="0" borderId="60" xfId="0" applyFont="1" applyFill="1" applyBorder="1" applyAlignment="1"/>
    <xf numFmtId="0" fontId="39" fillId="17" borderId="60" xfId="0" applyFont="1" applyFill="1" applyBorder="1" applyAlignment="1">
      <alignment horizontal="right" vertical="center" wrapText="1"/>
    </xf>
    <xf numFmtId="0" fontId="42" fillId="0" borderId="60" xfId="0" applyFont="1" applyBorder="1" applyAlignment="1"/>
    <xf numFmtId="2" fontId="42" fillId="0" borderId="60" xfId="0" applyNumberFormat="1" applyFont="1" applyBorder="1" applyAlignment="1"/>
    <xf numFmtId="0" fontId="82" fillId="13" borderId="58" xfId="0" applyFont="1" applyFill="1" applyBorder="1" applyAlignment="1">
      <alignment vertical="top"/>
    </xf>
    <xf numFmtId="0" fontId="72" fillId="0" borderId="58" xfId="0" applyFont="1" applyFill="1" applyBorder="1" applyAlignment="1">
      <alignment vertical="top"/>
    </xf>
    <xf numFmtId="0" fontId="82" fillId="13" borderId="59" xfId="0" applyFont="1" applyFill="1" applyBorder="1" applyAlignment="1">
      <alignment vertical="top"/>
    </xf>
    <xf numFmtId="0" fontId="82" fillId="13" borderId="1" xfId="0" applyFont="1" applyFill="1" applyBorder="1" applyAlignment="1">
      <alignment vertical="top"/>
    </xf>
    <xf numFmtId="0" fontId="72" fillId="0" borderId="1" xfId="0" applyFont="1" applyFill="1" applyBorder="1" applyAlignment="1">
      <alignment vertical="top"/>
    </xf>
    <xf numFmtId="0" fontId="82" fillId="13" borderId="60" xfId="0" applyFont="1" applyFill="1" applyBorder="1" applyAlignment="1">
      <alignment vertical="top"/>
    </xf>
    <xf numFmtId="164" fontId="40" fillId="0" borderId="47" xfId="0" applyNumberFormat="1" applyFont="1" applyBorder="1" applyAlignment="1">
      <alignment vertical="top"/>
    </xf>
    <xf numFmtId="0" fontId="40" fillId="0" borderId="47" xfId="0" applyFont="1" applyBorder="1" applyAlignment="1">
      <alignment vertical="top"/>
    </xf>
    <xf numFmtId="0" fontId="52" fillId="0" borderId="0" xfId="0" applyFont="1" applyAlignment="1">
      <alignment horizontal="left"/>
    </xf>
    <xf numFmtId="1" fontId="80" fillId="13" borderId="0" xfId="0" applyNumberFormat="1" applyFont="1" applyFill="1" applyAlignment="1"/>
    <xf numFmtId="0" fontId="103" fillId="27" borderId="0" xfId="0" applyFont="1" applyFill="1" applyAlignment="1"/>
    <xf numFmtId="0" fontId="28" fillId="0" borderId="0" xfId="0" applyFont="1" applyAlignment="1">
      <alignment horizontal="right" vertical="center"/>
    </xf>
    <xf numFmtId="0" fontId="28" fillId="0" borderId="0" xfId="0" applyFont="1" applyAlignment="1"/>
    <xf numFmtId="9" fontId="71" fillId="16" borderId="15" xfId="0" applyNumberFormat="1" applyFont="1" applyFill="1" applyBorder="1" applyAlignment="1">
      <alignment horizontal="right" vertical="center" wrapText="1"/>
    </xf>
    <xf numFmtId="9" fontId="71" fillId="17" borderId="15" xfId="0" applyNumberFormat="1" applyFont="1" applyFill="1" applyBorder="1" applyAlignment="1">
      <alignment horizontal="right" vertical="center" wrapText="1"/>
    </xf>
    <xf numFmtId="9" fontId="71" fillId="17" borderId="1" xfId="0" applyNumberFormat="1" applyFont="1" applyFill="1" applyBorder="1" applyAlignment="1">
      <alignment horizontal="right" vertical="center" wrapText="1"/>
    </xf>
    <xf numFmtId="9" fontId="71" fillId="13" borderId="1" xfId="0" applyNumberFormat="1" applyFont="1" applyFill="1" applyBorder="1" applyAlignment="1">
      <alignment horizontal="right" vertical="center" wrapText="1"/>
    </xf>
    <xf numFmtId="167" fontId="71" fillId="17" borderId="15" xfId="0" applyNumberFormat="1" applyFont="1" applyFill="1" applyBorder="1" applyAlignment="1">
      <alignment horizontal="right" vertical="center" wrapText="1"/>
    </xf>
    <xf numFmtId="10" fontId="71" fillId="17" borderId="15" xfId="0" applyNumberFormat="1" applyFont="1" applyFill="1" applyBorder="1" applyAlignment="1">
      <alignment horizontal="right" vertical="center" wrapText="1"/>
    </xf>
    <xf numFmtId="9" fontId="104" fillId="13" borderId="1" xfId="0" applyNumberFormat="1" applyFont="1" applyFill="1" applyBorder="1" applyAlignment="1">
      <alignment horizontal="right" vertical="center" wrapText="1"/>
    </xf>
    <xf numFmtId="0" fontId="103" fillId="27" borderId="0" xfId="0" applyFont="1" applyFill="1" applyAlignment="1">
      <alignment wrapText="1"/>
    </xf>
    <xf numFmtId="1" fontId="71" fillId="28" borderId="75" xfId="0" applyNumberFormat="1" applyFont="1" applyFill="1" applyBorder="1" applyAlignment="1">
      <alignment horizontal="right" vertical="center"/>
    </xf>
    <xf numFmtId="1" fontId="78" fillId="28" borderId="76" xfId="0" applyNumberFormat="1" applyFont="1" applyFill="1" applyBorder="1" applyAlignment="1"/>
    <xf numFmtId="0" fontId="78" fillId="28" borderId="76" xfId="0" applyFont="1" applyFill="1" applyBorder="1" applyAlignment="1"/>
    <xf numFmtId="0" fontId="78" fillId="28" borderId="77" xfId="0" applyFont="1" applyFill="1" applyBorder="1" applyAlignment="1"/>
    <xf numFmtId="1" fontId="78" fillId="0" borderId="62" xfId="0" applyNumberFormat="1" applyFont="1" applyBorder="1" applyAlignment="1"/>
    <xf numFmtId="1" fontId="78" fillId="0" borderId="53" xfId="0" applyNumberFormat="1" applyFont="1" applyBorder="1" applyAlignment="1"/>
    <xf numFmtId="9" fontId="71" fillId="0" borderId="53" xfId="1" applyFont="1" applyBorder="1" applyAlignment="1">
      <alignment horizontal="left" vertical="top" wrapText="1"/>
    </xf>
    <xf numFmtId="1" fontId="101" fillId="0" borderId="53" xfId="0" applyNumberFormat="1" applyFont="1" applyBorder="1" applyAlignment="1"/>
    <xf numFmtId="166" fontId="78" fillId="12" borderId="53" xfId="0" applyNumberFormat="1" applyFont="1" applyFill="1" applyBorder="1" applyAlignment="1"/>
    <xf numFmtId="0" fontId="102" fillId="0" borderId="0" xfId="0" quotePrefix="1" applyFont="1" applyAlignment="1">
      <alignment vertical="top"/>
    </xf>
    <xf numFmtId="164" fontId="80" fillId="12" borderId="0" xfId="0" applyNumberFormat="1" applyFont="1" applyFill="1" applyAlignment="1"/>
    <xf numFmtId="0" fontId="105" fillId="12" borderId="0" xfId="0" applyFont="1" applyFill="1" applyAlignment="1">
      <alignment vertical="top" wrapText="1"/>
    </xf>
    <xf numFmtId="0" fontId="37" fillId="0" borderId="60" xfId="0" applyFont="1" applyBorder="1" applyAlignment="1">
      <alignment vertical="top"/>
    </xf>
    <xf numFmtId="9" fontId="70" fillId="13" borderId="1" xfId="0" applyNumberFormat="1" applyFont="1" applyFill="1" applyBorder="1" applyAlignment="1">
      <alignment horizontal="right" vertical="center" wrapText="1"/>
    </xf>
    <xf numFmtId="0" fontId="97" fillId="14" borderId="0" xfId="0" applyFont="1" applyFill="1" applyAlignment="1">
      <alignment horizontal="left" wrapText="1"/>
    </xf>
    <xf numFmtId="0" fontId="83" fillId="15" borderId="55" xfId="0" applyFont="1" applyFill="1" applyBorder="1" applyAlignment="1">
      <alignment horizontal="center"/>
    </xf>
    <xf numFmtId="0" fontId="83" fillId="15" borderId="57" xfId="0" applyFont="1" applyFill="1" applyBorder="1" applyAlignment="1">
      <alignment horizontal="center"/>
    </xf>
    <xf numFmtId="0" fontId="77" fillId="0" borderId="64" xfId="0" applyFont="1" applyFill="1" applyBorder="1" applyAlignment="1">
      <alignment horizontal="center"/>
    </xf>
    <xf numFmtId="0" fontId="77" fillId="0" borderId="63" xfId="0" applyFont="1" applyFill="1" applyBorder="1" applyAlignment="1">
      <alignment horizontal="center"/>
    </xf>
    <xf numFmtId="0" fontId="70" fillId="0" borderId="50" xfId="0" applyFont="1" applyBorder="1" applyAlignment="1">
      <alignment horizontal="center" vertical="center"/>
    </xf>
    <xf numFmtId="0" fontId="70" fillId="0" borderId="15" xfId="0" applyFont="1" applyBorder="1" applyAlignment="1">
      <alignment horizontal="center" vertical="center"/>
    </xf>
    <xf numFmtId="0" fontId="73" fillId="0" borderId="61" xfId="0" applyFont="1" applyFill="1" applyBorder="1" applyAlignment="1">
      <alignment horizontal="center"/>
    </xf>
    <xf numFmtId="0" fontId="73" fillId="0" borderId="61" xfId="0" applyFont="1" applyFill="1" applyBorder="1" applyAlignment="1">
      <alignment horizontal="center" vertical="center" wrapText="1"/>
    </xf>
    <xf numFmtId="0" fontId="72" fillId="0" borderId="58" xfId="0" applyFont="1" applyFill="1" applyBorder="1" applyAlignment="1">
      <alignment horizontal="center"/>
    </xf>
    <xf numFmtId="0" fontId="72" fillId="0" borderId="47" xfId="0" applyFont="1" applyFill="1" applyBorder="1" applyAlignment="1">
      <alignment horizontal="center"/>
    </xf>
    <xf numFmtId="0" fontId="84" fillId="0" borderId="58" xfId="0" applyFont="1" applyBorder="1" applyAlignment="1">
      <alignment horizontal="left" wrapText="1"/>
    </xf>
    <xf numFmtId="0" fontId="84" fillId="0" borderId="59" xfId="0" applyFont="1" applyBorder="1" applyAlignment="1">
      <alignment horizontal="left" wrapText="1"/>
    </xf>
    <xf numFmtId="0" fontId="73" fillId="0" borderId="61" xfId="0" applyFont="1" applyFill="1" applyBorder="1" applyAlignment="1">
      <alignment horizontal="center" wrapText="1"/>
    </xf>
    <xf numFmtId="0" fontId="40" fillId="15" borderId="55" xfId="0" applyFont="1" applyFill="1" applyBorder="1" applyAlignment="1">
      <alignment horizontal="center"/>
    </xf>
    <xf numFmtId="0" fontId="40" fillId="15" borderId="56" xfId="0" applyFont="1" applyFill="1" applyBorder="1" applyAlignment="1">
      <alignment horizontal="center"/>
    </xf>
    <xf numFmtId="0" fontId="73" fillId="0" borderId="73" xfId="0" applyFont="1" applyFill="1" applyBorder="1" applyAlignment="1">
      <alignment horizontal="center" wrapText="1"/>
    </xf>
    <xf numFmtId="0" fontId="73" fillId="0" borderId="82" xfId="0" applyFont="1" applyFill="1" applyBorder="1" applyAlignment="1">
      <alignment horizontal="center" wrapText="1"/>
    </xf>
    <xf numFmtId="0" fontId="40" fillId="0" borderId="58" xfId="0" applyFont="1" applyBorder="1" applyAlignment="1">
      <alignment horizontal="center"/>
    </xf>
    <xf numFmtId="0" fontId="40" fillId="0" borderId="47" xfId="0" applyFont="1" applyBorder="1" applyAlignment="1">
      <alignment horizontal="center"/>
    </xf>
    <xf numFmtId="0" fontId="81" fillId="15" borderId="1" xfId="0" applyFont="1" applyFill="1" applyBorder="1" applyAlignment="1">
      <alignment horizontal="center" vertical="top"/>
    </xf>
    <xf numFmtId="0" fontId="26" fillId="0" borderId="0" xfId="0" applyFont="1" applyAlignment="1">
      <alignment horizontal="center" vertical="top" wrapText="1"/>
    </xf>
    <xf numFmtId="0" fontId="40" fillId="0" borderId="58" xfId="0" applyFont="1" applyBorder="1" applyAlignment="1">
      <alignment horizontal="left" vertical="top" wrapText="1"/>
    </xf>
    <xf numFmtId="164" fontId="40" fillId="0" borderId="47" xfId="0" applyNumberFormat="1" applyFont="1" applyBorder="1" applyAlignment="1">
      <alignment horizontal="left" vertical="top" wrapText="1"/>
    </xf>
    <xf numFmtId="164" fontId="40" fillId="0" borderId="46" xfId="0" applyNumberFormat="1" applyFont="1" applyBorder="1" applyAlignment="1">
      <alignment horizontal="left" vertical="top" wrapText="1"/>
    </xf>
    <xf numFmtId="0" fontId="81" fillId="15" borderId="64" xfId="0" applyFont="1" applyFill="1" applyBorder="1" applyAlignment="1">
      <alignment horizontal="center" vertical="top"/>
    </xf>
    <xf numFmtId="0" fontId="102" fillId="0" borderId="0" xfId="0" quotePrefix="1" applyFont="1" applyAlignment="1">
      <alignment horizontal="left" vertical="top"/>
    </xf>
    <xf numFmtId="0" fontId="52" fillId="0" borderId="0" xfId="0" quotePrefix="1" applyFont="1" applyAlignment="1">
      <alignment horizontal="left" vertical="top"/>
    </xf>
    <xf numFmtId="0" fontId="81" fillId="15" borderId="47" xfId="0" applyFont="1" applyFill="1" applyBorder="1" applyAlignment="1">
      <alignment horizontal="center" vertical="top"/>
    </xf>
    <xf numFmtId="0" fontId="90" fillId="12" borderId="0" xfId="0" applyFont="1" applyFill="1" applyAlignment="1">
      <alignment horizontal="left" vertical="top" wrapText="1"/>
    </xf>
    <xf numFmtId="0" fontId="83" fillId="15" borderId="55" xfId="0" applyFont="1" applyFill="1" applyBorder="1" applyAlignment="1">
      <alignment horizontal="center" vertical="center" wrapText="1"/>
    </xf>
    <xf numFmtId="0" fontId="83" fillId="15" borderId="57" xfId="0" applyFont="1" applyFill="1" applyBorder="1" applyAlignment="1">
      <alignment horizontal="center" vertical="center" wrapText="1"/>
    </xf>
    <xf numFmtId="0" fontId="81" fillId="15" borderId="58" xfId="0" applyFont="1" applyFill="1" applyBorder="1" applyAlignment="1">
      <alignment horizontal="center" vertical="top"/>
    </xf>
    <xf numFmtId="0" fontId="40" fillId="29" borderId="1" xfId="0" applyFont="1" applyFill="1" applyBorder="1" applyAlignment="1">
      <alignment horizontal="center" vertical="top" wrapText="1"/>
    </xf>
    <xf numFmtId="0" fontId="40" fillId="29" borderId="60" xfId="0" applyFont="1" applyFill="1" applyBorder="1" applyAlignment="1">
      <alignment horizontal="center" vertical="top" wrapText="1"/>
    </xf>
    <xf numFmtId="0" fontId="68" fillId="0" borderId="0" xfId="0" applyFont="1" applyAlignment="1">
      <alignment horizontal="center" vertical="top" wrapText="1"/>
    </xf>
    <xf numFmtId="0" fontId="81" fillId="29" borderId="1" xfId="0" applyFont="1" applyFill="1" applyBorder="1" applyAlignment="1">
      <alignment horizontal="center" vertical="top" wrapText="1"/>
    </xf>
    <xf numFmtId="0" fontId="81" fillId="29" borderId="60" xfId="0" applyFont="1" applyFill="1" applyBorder="1" applyAlignment="1">
      <alignment horizontal="center" vertical="top" wrapText="1"/>
    </xf>
    <xf numFmtId="0" fontId="66" fillId="0" borderId="1" xfId="4" applyFont="1" applyAlignment="1">
      <alignment horizontal="left" wrapText="1"/>
    </xf>
    <xf numFmtId="0" fontId="11" fillId="0" borderId="1" xfId="4" applyAlignment="1">
      <alignment horizontal="center"/>
    </xf>
    <xf numFmtId="0" fontId="13" fillId="0" borderId="0" xfId="0" applyFont="1" applyAlignment="1">
      <alignment horizontal="center"/>
    </xf>
    <xf numFmtId="0" fontId="0" fillId="0" borderId="0" xfId="0" applyFont="1" applyAlignment="1"/>
    <xf numFmtId="0" fontId="16" fillId="0" borderId="29" xfId="0" applyFont="1" applyBorder="1" applyAlignment="1">
      <alignment horizontal="center" vertical="center" wrapText="1"/>
    </xf>
    <xf numFmtId="0" fontId="17" fillId="0" borderId="27" xfId="0" applyFont="1" applyBorder="1"/>
    <xf numFmtId="0" fontId="17" fillId="0" borderId="31" xfId="0" applyFont="1" applyBorder="1"/>
    <xf numFmtId="0" fontId="16" fillId="0" borderId="32" xfId="0" applyFont="1" applyBorder="1" applyAlignment="1">
      <alignment horizontal="center" vertical="center" wrapText="1"/>
    </xf>
    <xf numFmtId="0" fontId="15" fillId="9" borderId="32" xfId="0" applyFont="1" applyFill="1" applyBorder="1" applyAlignment="1">
      <alignment horizontal="center" vertical="center" wrapText="1"/>
    </xf>
    <xf numFmtId="0" fontId="15" fillId="0" borderId="32" xfId="0" applyFont="1" applyBorder="1" applyAlignment="1">
      <alignment horizontal="center" vertical="center" wrapText="1"/>
    </xf>
  </cellXfs>
  <cellStyles count="10">
    <cellStyle name="Accent3" xfId="5" builtinId="37"/>
    <cellStyle name="Komma" xfId="3" builtinId="3"/>
    <cellStyle name="Procent" xfId="1" builtinId="5"/>
    <cellStyle name="Standaard" xfId="0" builtinId="0"/>
    <cellStyle name="Standaard 2" xfId="2" xr:uid="{3400FA40-29FF-47D5-9790-73E18CE216A3}"/>
    <cellStyle name="Standaard 2 2" xfId="7" xr:uid="{01D48BD8-AEB9-4FDA-AD2A-8B2CC3611441}"/>
    <cellStyle name="Standaard 3" xfId="4" xr:uid="{EFB4E3F6-B397-49BE-9094-088A133BDC4D}"/>
    <cellStyle name="Standaard 4" xfId="6" xr:uid="{C7C47369-B8D8-410B-90B5-FDF1CA14FA8C}"/>
    <cellStyle name="Standaard 4 3" xfId="9" xr:uid="{EB2C3046-E989-46F4-8727-8A9476DBF7D1}"/>
    <cellStyle name="Standaard 7" xfId="8" xr:uid="{4A65256E-2FF9-42F4-9A27-AF0873032DA7}"/>
  </cellStyles>
  <dxfs count="4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
      <fill>
        <patternFill patternType="none">
          <bgColor auto="1"/>
        </patternFill>
      </fill>
      <border>
        <left style="thin">
          <color rgb="FFC00000"/>
        </left>
        <right style="thin">
          <color rgb="FFC00000"/>
        </right>
        <top style="thin">
          <color rgb="FFC00000"/>
        </top>
        <bottom style="thin">
          <color rgb="FFC00000"/>
        </bottom>
      </border>
    </dxf>
  </dxfs>
  <tableStyles count="0" defaultTableStyle="TableStyleMedium2" defaultPivotStyle="PivotStyleLight16"/>
  <colors>
    <mruColors>
      <color rgb="FFFFCCCC"/>
      <color rgb="FFFF9999"/>
      <color rgb="FF3399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5.xml.rels><?xml version="1.0" encoding="UTF-8" standalone="yes"?>
<Relationships xmlns="http://schemas.openxmlformats.org/package/2006/relationships"><Relationship Id="rId1" Type="http://customschemas.google.com/relationships/workbookmetadata" Target="commentsmeta7"/></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40" Type="http://customschemas.google.com/relationships/workbookmetadata" Target="metadata"/><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4"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43"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39</xdr:col>
      <xdr:colOff>239486</xdr:colOff>
      <xdr:row>7</xdr:row>
      <xdr:rowOff>272143</xdr:rowOff>
    </xdr:from>
    <xdr:to>
      <xdr:col>47</xdr:col>
      <xdr:colOff>263271</xdr:colOff>
      <xdr:row>15</xdr:row>
      <xdr:rowOff>70640</xdr:rowOff>
    </xdr:to>
    <xdr:pic>
      <xdr:nvPicPr>
        <xdr:cNvPr id="2" name="Afbeelding 1">
          <a:extLst>
            <a:ext uri="{FF2B5EF4-FFF2-40B4-BE49-F238E27FC236}">
              <a16:creationId xmlns:a16="http://schemas.microsoft.com/office/drawing/2014/main" id="{9121223F-7044-44A0-BC6D-65BF0A985EE0}"/>
            </a:ext>
          </a:extLst>
        </xdr:cNvPr>
        <xdr:cNvPicPr>
          <a:picLocks noChangeAspect="1"/>
        </xdr:cNvPicPr>
      </xdr:nvPicPr>
      <xdr:blipFill>
        <a:blip xmlns:r="http://schemas.openxmlformats.org/officeDocument/2006/relationships" r:embed="rId1"/>
        <a:stretch>
          <a:fillRect/>
        </a:stretch>
      </xdr:blipFill>
      <xdr:spPr>
        <a:xfrm>
          <a:off x="31487836" y="3612243"/>
          <a:ext cx="6627785" cy="1761917"/>
        </a:xfrm>
        <a:prstGeom prst="rect">
          <a:avLst/>
        </a:prstGeom>
      </xdr:spPr>
    </xdr:pic>
    <xdr:clientData/>
  </xdr:twoCellAnchor>
  <xdr:twoCellAnchor editAs="oneCell">
    <xdr:from>
      <xdr:col>39</xdr:col>
      <xdr:colOff>63137</xdr:colOff>
      <xdr:row>9</xdr:row>
      <xdr:rowOff>779417</xdr:rowOff>
    </xdr:from>
    <xdr:to>
      <xdr:col>47</xdr:col>
      <xdr:colOff>121763</xdr:colOff>
      <xdr:row>21</xdr:row>
      <xdr:rowOff>80388</xdr:rowOff>
    </xdr:to>
    <xdr:pic>
      <xdr:nvPicPr>
        <xdr:cNvPr id="3" name="Afbeelding 2">
          <a:extLst>
            <a:ext uri="{FF2B5EF4-FFF2-40B4-BE49-F238E27FC236}">
              <a16:creationId xmlns:a16="http://schemas.microsoft.com/office/drawing/2014/main" id="{118E3304-CE18-4571-AE24-9911596FED70}"/>
            </a:ext>
          </a:extLst>
        </xdr:cNvPr>
        <xdr:cNvPicPr>
          <a:picLocks noChangeAspect="1"/>
        </xdr:cNvPicPr>
      </xdr:nvPicPr>
      <xdr:blipFill>
        <a:blip xmlns:r="http://schemas.openxmlformats.org/officeDocument/2006/relationships" r:embed="rId2"/>
        <a:stretch>
          <a:fillRect/>
        </a:stretch>
      </xdr:blipFill>
      <xdr:spPr>
        <a:xfrm>
          <a:off x="31311487" y="5478417"/>
          <a:ext cx="6662626" cy="2728701"/>
        </a:xfrm>
        <a:prstGeom prst="rect">
          <a:avLst/>
        </a:prstGeom>
      </xdr:spPr>
    </xdr:pic>
    <xdr:clientData/>
  </xdr:twoCellAnchor>
  <xdr:twoCellAnchor editAs="oneCell">
    <xdr:from>
      <xdr:col>42</xdr:col>
      <xdr:colOff>293914</xdr:colOff>
      <xdr:row>3</xdr:row>
      <xdr:rowOff>0</xdr:rowOff>
    </xdr:from>
    <xdr:to>
      <xdr:col>48</xdr:col>
      <xdr:colOff>430150</xdr:colOff>
      <xdr:row>14</xdr:row>
      <xdr:rowOff>132649</xdr:rowOff>
    </xdr:to>
    <xdr:pic>
      <xdr:nvPicPr>
        <xdr:cNvPr id="4" name="Afbeelding 3">
          <a:extLst>
            <a:ext uri="{FF2B5EF4-FFF2-40B4-BE49-F238E27FC236}">
              <a16:creationId xmlns:a16="http://schemas.microsoft.com/office/drawing/2014/main" id="{A7640BEC-DA92-4EA9-A4D5-100004D8B684}"/>
            </a:ext>
          </a:extLst>
        </xdr:cNvPr>
        <xdr:cNvPicPr>
          <a:picLocks noChangeAspect="1"/>
        </xdr:cNvPicPr>
      </xdr:nvPicPr>
      <xdr:blipFill>
        <a:blip xmlns:r="http://schemas.openxmlformats.org/officeDocument/2006/relationships" r:embed="rId3"/>
        <a:stretch>
          <a:fillRect/>
        </a:stretch>
      </xdr:blipFill>
      <xdr:spPr>
        <a:xfrm>
          <a:off x="34018764" y="578032"/>
          <a:ext cx="5089236" cy="28059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18</xdr:col>
      <xdr:colOff>141741</xdr:colOff>
      <xdr:row>136</xdr:row>
      <xdr:rowOff>139927</xdr:rowOff>
    </xdr:from>
    <xdr:to>
      <xdr:col>27</xdr:col>
      <xdr:colOff>84610</xdr:colOff>
      <xdr:row>164</xdr:row>
      <xdr:rowOff>160618</xdr:rowOff>
    </xdr:to>
    <xdr:pic>
      <xdr:nvPicPr>
        <xdr:cNvPr id="2" name="Afbeelding 1">
          <a:extLst>
            <a:ext uri="{FF2B5EF4-FFF2-40B4-BE49-F238E27FC236}">
              <a16:creationId xmlns:a16="http://schemas.microsoft.com/office/drawing/2014/main" id="{5E19CEE6-F302-446A-A99A-9D6E899D6853}"/>
            </a:ext>
          </a:extLst>
        </xdr:cNvPr>
        <xdr:cNvPicPr>
          <a:picLocks noChangeAspect="1"/>
        </xdr:cNvPicPr>
      </xdr:nvPicPr>
      <xdr:blipFill>
        <a:blip xmlns:r="http://schemas.openxmlformats.org/officeDocument/2006/relationships" r:embed="rId1"/>
        <a:stretch>
          <a:fillRect/>
        </a:stretch>
      </xdr:blipFill>
      <xdr:spPr>
        <a:xfrm>
          <a:off x="15200312" y="24542070"/>
          <a:ext cx="6876032" cy="5100691"/>
        </a:xfrm>
        <a:prstGeom prst="rect">
          <a:avLst/>
        </a:prstGeom>
      </xdr:spPr>
    </xdr:pic>
    <xdr:clientData/>
  </xdr:twoCellAnchor>
  <xdr:twoCellAnchor editAs="oneCell">
    <xdr:from>
      <xdr:col>14</xdr:col>
      <xdr:colOff>499804</xdr:colOff>
      <xdr:row>102</xdr:row>
      <xdr:rowOff>125210</xdr:rowOff>
    </xdr:from>
    <xdr:to>
      <xdr:col>24</xdr:col>
      <xdr:colOff>96920</xdr:colOff>
      <xdr:row>112</xdr:row>
      <xdr:rowOff>176721</xdr:rowOff>
    </xdr:to>
    <xdr:pic>
      <xdr:nvPicPr>
        <xdr:cNvPr id="3" name="Afbeelding 2">
          <a:extLst>
            <a:ext uri="{FF2B5EF4-FFF2-40B4-BE49-F238E27FC236}">
              <a16:creationId xmlns:a16="http://schemas.microsoft.com/office/drawing/2014/main" id="{080E528B-3BFD-4F0A-9E53-50EA68B3658D}"/>
            </a:ext>
          </a:extLst>
        </xdr:cNvPr>
        <xdr:cNvPicPr>
          <a:picLocks noChangeAspect="1"/>
        </xdr:cNvPicPr>
      </xdr:nvPicPr>
      <xdr:blipFill>
        <a:blip xmlns:r="http://schemas.openxmlformats.org/officeDocument/2006/relationships" r:embed="rId2"/>
        <a:stretch>
          <a:fillRect/>
        </a:stretch>
      </xdr:blipFill>
      <xdr:spPr>
        <a:xfrm>
          <a:off x="12234345" y="18306945"/>
          <a:ext cx="6964411" cy="1865796"/>
        </a:xfrm>
        <a:prstGeom prst="rect">
          <a:avLst/>
        </a:prstGeom>
      </xdr:spPr>
    </xdr:pic>
    <xdr:clientData/>
  </xdr:twoCellAnchor>
  <xdr:oneCellAnchor>
    <xdr:from>
      <xdr:col>28</xdr:col>
      <xdr:colOff>54429</xdr:colOff>
      <xdr:row>53</xdr:row>
      <xdr:rowOff>178836</xdr:rowOff>
    </xdr:from>
    <xdr:ext cx="4810125" cy="3209925"/>
    <xdr:pic>
      <xdr:nvPicPr>
        <xdr:cNvPr id="5" name="image43.png">
          <a:extLst>
            <a:ext uri="{FF2B5EF4-FFF2-40B4-BE49-F238E27FC236}">
              <a16:creationId xmlns:a16="http://schemas.microsoft.com/office/drawing/2014/main" id="{0E565305-7348-4218-87AF-04DE2C768462}"/>
            </a:ext>
          </a:extLst>
        </xdr:cNvPr>
        <xdr:cNvPicPr preferRelativeResize="0"/>
      </xdr:nvPicPr>
      <xdr:blipFill>
        <a:blip xmlns:r="http://schemas.openxmlformats.org/officeDocument/2006/relationships" r:embed="rId3" cstate="print"/>
        <a:stretch>
          <a:fillRect/>
        </a:stretch>
      </xdr:blipFill>
      <xdr:spPr>
        <a:xfrm>
          <a:off x="22377919" y="9797142"/>
          <a:ext cx="4810125" cy="3209925"/>
        </a:xfrm>
        <a:prstGeom prst="rect">
          <a:avLst/>
        </a:prstGeom>
        <a:noFill/>
      </xdr:spPr>
    </xdr:pic>
    <xdr:clientData fLocksWithSheet="0"/>
  </xdr:oneCellAnchor>
  <xdr:oneCellAnchor>
    <xdr:from>
      <xdr:col>15</xdr:col>
      <xdr:colOff>653142</xdr:colOff>
      <xdr:row>54</xdr:row>
      <xdr:rowOff>101081</xdr:rowOff>
    </xdr:from>
    <xdr:ext cx="5781675" cy="3343275"/>
    <xdr:pic>
      <xdr:nvPicPr>
        <xdr:cNvPr id="6" name="image39.png">
          <a:extLst>
            <a:ext uri="{FF2B5EF4-FFF2-40B4-BE49-F238E27FC236}">
              <a16:creationId xmlns:a16="http://schemas.microsoft.com/office/drawing/2014/main" id="{42C204C8-1639-4436-9E2E-D836F256A26C}"/>
            </a:ext>
          </a:extLst>
        </xdr:cNvPr>
        <xdr:cNvPicPr preferRelativeResize="0"/>
      </xdr:nvPicPr>
      <xdr:blipFill>
        <a:blip xmlns:r="http://schemas.openxmlformats.org/officeDocument/2006/relationships" r:embed="rId4" cstate="print"/>
        <a:stretch>
          <a:fillRect/>
        </a:stretch>
      </xdr:blipFill>
      <xdr:spPr>
        <a:xfrm>
          <a:off x="13964815" y="10279224"/>
          <a:ext cx="5781675" cy="3343275"/>
        </a:xfrm>
        <a:prstGeom prst="rect">
          <a:avLst/>
        </a:prstGeom>
        <a:noFill/>
      </xdr:spPr>
    </xdr:pic>
    <xdr:clientData fLocksWithSheet="0"/>
  </xdr:oneCellAnchor>
  <xdr:oneCellAnchor>
    <xdr:from>
      <xdr:col>35</xdr:col>
      <xdr:colOff>590939</xdr:colOff>
      <xdr:row>54</xdr:row>
      <xdr:rowOff>163286</xdr:rowOff>
    </xdr:from>
    <xdr:ext cx="4814208" cy="2472418"/>
    <xdr:pic>
      <xdr:nvPicPr>
        <xdr:cNvPr id="7" name="image38.png">
          <a:extLst>
            <a:ext uri="{FF2B5EF4-FFF2-40B4-BE49-F238E27FC236}">
              <a16:creationId xmlns:a16="http://schemas.microsoft.com/office/drawing/2014/main" id="{B10BFF79-72EC-4E98-9AE0-802C741C50D4}"/>
            </a:ext>
          </a:extLst>
        </xdr:cNvPr>
        <xdr:cNvPicPr preferRelativeResize="0"/>
      </xdr:nvPicPr>
      <xdr:blipFill>
        <a:blip xmlns:r="http://schemas.openxmlformats.org/officeDocument/2006/relationships" r:embed="rId5" cstate="print"/>
        <a:stretch>
          <a:fillRect/>
        </a:stretch>
      </xdr:blipFill>
      <xdr:spPr>
        <a:xfrm>
          <a:off x="28512796" y="9968204"/>
          <a:ext cx="4814208" cy="2472418"/>
        </a:xfrm>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person displayName="Marieke Verbeke" id="{3EC29F89-5A60-4E13-96F5-FF9833C71292}" userId="Marieke Verbeke" providerId="Non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I18" dT="2021-08-13T14:22:45.99" personId="{3EC29F89-5A60-4E13-96F5-FF9833C71292}" id="{CBDBD0AF-1E21-46D4-ADD5-BFE599699471}">
    <text>GZV combinatie met Fe2SO43 in tweede centrifuge</text>
  </threadedComment>
  <threadedComment ref="L18" dT="2021-08-25T13:13:18.50" personId="{3EC29F89-5A60-4E13-96F5-FF9833C71292}" id="{2DD24756-EF94-4E3D-AF9D-FA8299F5BBA0}">
    <text>(Brienza et al., 2018)
Groot Zevert Vergisting: calculated and estimated figures by Nijhuis Industries, Polymer addition 0.063 kg PM/ton input DAF</text>
  </threadedComment>
  <threadedComment ref="M18" dT="2021-08-25T13:16:36.75" personId="{3EC29F89-5A60-4E13-96F5-FF9833C71292}" id="{65286FF7-EF0A-465F-814C-4318CABDB8AC}">
    <text>AM-Power:polymer and FeCl3 dosed to DAF -&gt; pol: 46l/m3  -  FeCI3: +- 3,5l/m3</text>
  </threadedComment>
  <threadedComment ref="J22" dT="2021-08-09T09:16:05.97" personId="{3EC29F89-5A60-4E13-96F5-FF9833C71292}" id="{2CC96A61-DEBD-4C9C-932C-623B5085DFF5}">
    <text>AM-Power? polymer (0.35% solution 100L/m³ ) and FeSO4 (40% 225L/24m³)</text>
  </threadedComment>
  <threadedComment ref="I24" dT="2021-09-13T11:52:09.62" personId="{3EC29F89-5A60-4E13-96F5-FF9833C71292}" id="{6B4F0994-85C3-4E2C-8936-0D34C72AF0CF}">
    <text>AM-Power: polymer and FeCl3 dosed to DAF -&gt; pol: 46l/m3  -  FeCI3: +- 3,5l/m3</text>
  </threadedComment>
  <threadedComment ref="I26" dT="2021-08-09T09:15:47.06" personId="{3EC29F89-5A60-4E13-96F5-FF9833C71292}" id="{80885590-2ED4-45AB-94C9-E5E4B7260C26}">
    <text>GZV</text>
  </threadedComment>
  <threadedComment ref="J26" dT="2021-08-09T09:16:05.97" personId="{3EC29F89-5A60-4E13-96F5-FF9833C71292}" id="{DE7C331F-2991-44A1-B17B-98D7AB09A095}">
    <text>AM-Power? polymer (3.5% solution 100L/m³ ) and FeSO4 (40% 225L/24m³)</text>
  </threadedComment>
  <threadedComment ref="K26" dT="2021-08-13T14:25:29.99" personId="{3EC29F89-5A60-4E13-96F5-FF9833C71292}" id="{A9662608-E902-40B1-BDD5-E2D1563965D1}">
    <text>GZV combi met PM in tweede centrifuge. 0.9 LFe2SO43 42%/m³</text>
  </threadedComment>
  <threadedComment ref="I28" dT="2021-08-09T09:16:28.17" personId="{3EC29F89-5A60-4E13-96F5-FF9833C71292}" id="{739255DF-4B66-45F2-BD0F-9EF0F95FB96C}">
    <text>GZV</text>
  </threadedComment>
  <threadedComment ref="J30" dT="2021-08-09T09:16:19.67" personId="{3EC29F89-5A60-4E13-96F5-FF9833C71292}" id="{D0AE0212-DEFE-4D56-90A2-D654BBF1B5DD}">
    <text>AM-Power combi met PM</text>
  </threadedComment>
  <threadedComment ref="I32" dT="2021-09-13T11:52:52.85" personId="{3EC29F89-5A60-4E13-96F5-FF9833C71292}" id="{183430B4-009B-4489-8070-4540513CABAC}">
    <text>AM-Power: polymer and FeCl3 dosed to DAF -&gt; pol: 46l/m3  -  FeCI3: +- 3,5l/m3</text>
  </threadedComment>
  <threadedComment ref="J34" dT="2021-09-13T11:49:14.85" personId="{3EC29F89-5A60-4E13-96F5-FF9833C71292}" id="{01D7B512-CBDF-433B-9A8A-5CA7394C9491}">
    <text> AM-Power: antifoam dosed to decanter -&gt; 0,1l/m3 (blend LF and DIG)</text>
  </threadedComment>
  <threadedComment ref="O34" dT="2021-08-25T13:09:40.16" personId="{3EC29F89-5A60-4E13-96F5-FF9833C71292}" id="{1B3ACD9B-D769-4D66-B404-3AF684924BC0}">
    <text>between 2.5-3.8€/kg</text>
  </threadedComment>
  <threadedComment ref="I36" dT="2021-09-13T11:43:12.47" personId="{3EC29F89-5A60-4E13-96F5-FF9833C71292}" id="{801A3B54-2701-4142-8BD9-0A7BE13831B3}">
    <text>Waterleau New Energy uses 0.4L anti-foam/m³ of liquid faction and (Kühne 2018) also reported amounts of 0.3L/m³ of liquid fraction in the evaporator.</text>
  </threadedComment>
  <threadedComment ref="J36" dT="2021-09-13T11:42:25.42" personId="{3EC29F89-5A60-4E13-96F5-FF9833C71292}" id="{9D3470FC-3B47-4EF8-92AB-834B72C6D1C4}">
    <text>Figure 2-18 shows the consumption of anti-foam in the evaporator at AM-Power: 1-2L/m³</text>
  </threadedComment>
  <threadedComment ref="I38" dT="2021-08-25T13:25:08.04" personId="{3EC29F89-5A60-4E13-96F5-FF9833C71292}" id="{0D18E78F-29AA-4739-BF24-594EFAED8B0E}">
    <text>AM-Power:polymer and FeCl3 dosed to DAF -&gt; pol: 46l/m3  -  FeCI3: +- 3,5l/m3</text>
  </threadedComment>
  <threadedComment ref="J38" dT="2021-08-25T13:12:28.34" personId="{3EC29F89-5A60-4E13-96F5-FF9833C71292}" id="{1B4F9317-FCAC-4649-BC96-720DA2A5384D}">
    <text>(Brienza et al., 2018)
Groot Zevert Vergisting: calculated and estimated figures by Nijhuis Industries, Polymer addition 0.063 kg PM/ton input</text>
  </threadedComment>
  <threadedComment ref="I42" dT="2021-09-13T11:40:05.65" personId="{3EC29F89-5A60-4E13-96F5-FF9833C71292}" id="{E67A2F81-F3D6-429C-9B1D-DBA0BDADAF27}">
    <text>AM-Power ±7-9 L H2SO4 (96%)/m³ liquid fraction to adjust the pH from 7.5 to 6.</text>
  </threadedComment>
  <threadedComment ref="J42" dT="2021-09-13T11:40:14.83" personId="{3EC29F89-5A60-4E13-96F5-FF9833C71292}" id="{2E9BF5FB-6AB1-4F15-A33D-309E56EAC448}">
    <text>A lab scale study of Bonmati and Flotats (2012) only used 3 L H2SO4 (96%)/m³ liquid fraction to get from pH 8.7 to pH 6.</text>
  </threadedComment>
  <threadedComment ref="I44" dT="2021-09-13T11:57:40.26" personId="{3EC29F89-5A60-4E13-96F5-FF9833C71292}" id="{C2FE1FA5-8808-403A-92F7-C2304BF3782B}">
    <text>AM-Power:  H2SO4 37% +- 2 kg/m3</text>
  </threadedComment>
  <threadedComment ref="I46" dT="2021-09-13T12:02:32.56" personId="{3EC29F89-5A60-4E13-96F5-FF9833C71292}" id="{36CB9C45-2E8E-4157-94FC-372553D5F23D}">
    <text>AM-Power:   NaOH +- 0,7 kg/m3</text>
  </threadedComment>
  <threadedComment ref="I49" dT="2021-09-13T12:06:59.17" personId="{3EC29F89-5A60-4E13-96F5-FF9833C71292}" id="{F4CCF037-97B9-497A-B133-04382A152EEC}">
    <text>AM-Power:acidification: H2SO4 96% 2,7 kg/m3</text>
  </threadedComment>
  <threadedComment ref="I49" dT="2021-10-08T12:41:58.71" personId="{3EC29F89-5A60-4E13-96F5-FF9833C71292}" id="{F09CECAF-AD41-45B4-90AC-E7B122DC9098}" parentId="{F4CCF037-97B9-497A-B133-04382A152EEC}">
    <text>GZV: 1 a 1,5 L 96% zwavelzuur als je het uitdrukt per verwerkte m3 digestaat.
GZV gebruikt erg weinig zwavelzuur. Dit doen ze expres om een NK-concentraat te maken met een laag zwavel gehalte, ze zijn daar een redelijke uitzondering in</text>
  </threadedComment>
  <threadedComment ref="J49" dT="2021-10-08T11:34:32.76" personId="{3EC29F89-5A60-4E13-96F5-FF9833C71292}" id="{49CC959F-2039-41F0-BE96-0C5934AF84E0}">
    <text>3-13L H2SO4(96%)/m³ input (Kühne 2018, Waterleau New Energy,2020).</text>
  </threadedComment>
  <threadedComment ref="I51" dT="2021-10-08T13:19:18.91" personId="{3EC29F89-5A60-4E13-96F5-FF9833C71292}" id="{0965ABE6-C38C-4881-B55E-2EF0FCF0F5B3}">
    <text>1L H2SO4 96%; 2L NaOH(50%) per 100m³ RO input</text>
  </threadedComment>
  <threadedComment ref="I53" dT="2021-10-08T13:19:15.07" personId="{3EC29F89-5A60-4E13-96F5-FF9833C71292}" id="{28522C3D-D97C-44B2-ACAA-2AE8C4CE4C24}">
    <text>1L H2SO4 96%; 2L NaOH(50%) per 100m³ RO input</text>
  </threadedComment>
  <threadedComment ref="I55" dT="2021-10-08T13:07:25.83" personId="{3EC29F89-5A60-4E13-96F5-FF9833C71292}" id="{B3FA4282-9BB1-4B40-BCBA-3D8E364BFFFA}">
    <text>GZV: 10m³ per 100m³ RO permeate</text>
  </threadedComment>
  <threadedComment ref="J55" dT="2021-10-08T13:07:25.83" personId="{3EC29F89-5A60-4E13-96F5-FF9833C71292}" id="{F9E3A78F-3B1B-433D-BFC7-C7BE3B7B1CA7}">
    <text>GZV: 10m³ per 120m³ RO permeate</text>
  </threadedComment>
  <threadedComment ref="E77" dT="2021-09-23T15:16:17.69" personId="{3EC29F89-5A60-4E13-96F5-FF9833C71292}" id="{06238AF0-4953-4AD1-8DD5-2B4B57F3281D}">
    <text>Lab results 2017:(Schoumans et al. 2017)</text>
  </threadedComment>
  <threadedComment ref="F77" dT="2021-09-23T15:16:33.56" personId="{3EC29F89-5A60-4E13-96F5-FF9833C71292}" id="{A7FF551B-EB76-42B2-A7E5-E5B526AA5DD0}">
    <text>Pilot tests 2017:Solid fraction was twice acidified (Regelink et al. 2019)</text>
  </threadedComment>
  <threadedComment ref="G77" dT="2021-09-23T15:15:55.65" personId="{3EC29F89-5A60-4E13-96F5-FF9833C71292}" id="{61BEFD1B-A1D8-4396-ACE9-5385F2B7940F}">
    <text>The acid consumption rate of the full scale plant amounted to 25 L of 98% sulphuric acid.</text>
  </threadedComment>
  <threadedComment ref="H77" dT="2021-09-23T15:18:24.05" personId="{3EC29F89-5A60-4E13-96F5-FF9833C71292}" id="{F8363063-6E98-4209-9222-DD9956C6A6B4}">
    <text>26 kg 96% sulphuric acid/ton SF 
from: Table 2-43 Costs of chemicals to be used on RePeat (Brienza et al.2019; Regelink et al. 2019)</text>
  </threadedComment>
  <threadedComment ref="I77" dT="2021-09-23T15:16:42.46" personId="{3EC29F89-5A60-4E13-96F5-FF9833C71292}" id="{3F90D101-3B5A-4FDA-8BAD-1A20C5B3D22B}">
    <text>Average of 4 batches, solid fraction was acidified once. Solid fraction was used with a P content of 11 g/kg. This content is far above the normal P content of about 6-8 g/kg.(Regelink et al. 2019)</text>
  </threadedComment>
  <threadedComment ref="C80" dT="2021-10-10T19:08:01.84" personId="{3EC29F89-5A60-4E13-96F5-FF9833C71292}" id="{A93F4D2E-392B-4248-B90D-CAB5303E65AD}">
    <text>mol/kg DS (3% DS)</text>
  </threadedComment>
  <threadedComment ref="F96" dT="2021-09-27T10:36:28.28" personId="{3EC29F89-5A60-4E13-96F5-FF9833C71292}" id="{2208BFB0-3747-4CF3-BC74-12BD0FF19479}">
    <text>In the full scale installation, calcium hydroxide was used to increase the pH in the precipitation tank. The consumption of 45%Ca(OH)2 varied between 20 – 40 kg per ton treated solid fraction during three months of monitoring of the full scale plant in 2020 (Regelink et al, 2019)</text>
  </threadedComment>
</ThreadedComment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13.bin"/><Relationship Id="rId5" Type="http://schemas.microsoft.com/office/2017/10/relationships/threadedComment" Target="../threadedComments/threadedComment1.xml"/><Relationship Id="rId4" Type="http://schemas.openxmlformats.org/officeDocument/2006/relationships/comments" Target="../comments4.xml"/></Relationships>
</file>

<file path=xl/worksheets/_rels/sheet1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3C053-4D98-4B56-8EF2-E1C93C650B94}">
  <dimension ref="A1:G30"/>
  <sheetViews>
    <sheetView zoomScale="90" zoomScaleNormal="90" workbookViewId="0">
      <selection activeCell="D20" sqref="D20"/>
    </sheetView>
  </sheetViews>
  <sheetFormatPr defaultRowHeight="14.4" x14ac:dyDescent="0.25"/>
  <cols>
    <col min="1" max="1" width="14" customWidth="1"/>
    <col min="2" max="2" width="108.796875" customWidth="1"/>
  </cols>
  <sheetData>
    <row r="1" spans="1:2" ht="15.05" thickBot="1" x14ac:dyDescent="0.3"/>
    <row r="2" spans="1:2" ht="15.05" thickBot="1" x14ac:dyDescent="0.3">
      <c r="A2" s="400" t="s">
        <v>2</v>
      </c>
      <c r="B2" s="401" t="s">
        <v>405</v>
      </c>
    </row>
    <row r="3" spans="1:2" ht="15.05" thickBot="1" x14ac:dyDescent="0.3">
      <c r="A3" s="402" t="s">
        <v>4</v>
      </c>
      <c r="B3" s="403" t="s">
        <v>406</v>
      </c>
    </row>
    <row r="4" spans="1:2" ht="15.05" thickBot="1" x14ac:dyDescent="0.3">
      <c r="A4" s="402" t="s">
        <v>5</v>
      </c>
      <c r="B4" s="404" t="s">
        <v>407</v>
      </c>
    </row>
    <row r="5" spans="1:2" ht="15.05" thickBot="1" x14ac:dyDescent="0.3">
      <c r="A5" s="402" t="s">
        <v>7</v>
      </c>
      <c r="B5" s="401" t="s">
        <v>408</v>
      </c>
    </row>
    <row r="6" spans="1:2" ht="15.05" thickBot="1" x14ac:dyDescent="0.3">
      <c r="A6" s="402" t="s">
        <v>9</v>
      </c>
      <c r="B6" s="404" t="s">
        <v>409</v>
      </c>
    </row>
    <row r="7" spans="1:2" ht="15.05" thickBot="1" x14ac:dyDescent="0.3">
      <c r="A7" s="402" t="s">
        <v>410</v>
      </c>
      <c r="B7" s="401" t="s">
        <v>411</v>
      </c>
    </row>
    <row r="8" spans="1:2" ht="15.05" thickBot="1" x14ac:dyDescent="0.3">
      <c r="A8" s="402" t="s">
        <v>12</v>
      </c>
      <c r="B8" s="404" t="s">
        <v>412</v>
      </c>
    </row>
    <row r="9" spans="1:2" ht="15.05" thickBot="1" x14ac:dyDescent="0.3">
      <c r="A9" s="402" t="s">
        <v>15</v>
      </c>
      <c r="B9" s="401" t="s">
        <v>413</v>
      </c>
    </row>
    <row r="10" spans="1:2" ht="15.05" thickBot="1" x14ac:dyDescent="0.3">
      <c r="A10" s="402" t="s">
        <v>17</v>
      </c>
      <c r="B10" s="404" t="s">
        <v>414</v>
      </c>
    </row>
    <row r="11" spans="1:2" ht="15.05" thickBot="1" x14ac:dyDescent="0.3">
      <c r="A11" s="402" t="s">
        <v>415</v>
      </c>
      <c r="B11" s="401" t="s">
        <v>416</v>
      </c>
    </row>
    <row r="12" spans="1:2" ht="15.05" thickBot="1" x14ac:dyDescent="0.3">
      <c r="A12" s="402" t="s">
        <v>20</v>
      </c>
      <c r="B12" s="404" t="s">
        <v>417</v>
      </c>
    </row>
    <row r="13" spans="1:2" ht="24.45" thickBot="1" x14ac:dyDescent="0.3">
      <c r="A13" s="402" t="s">
        <v>19</v>
      </c>
      <c r="B13" s="401" t="s">
        <v>438</v>
      </c>
    </row>
    <row r="14" spans="1:2" ht="15.05" thickBot="1" x14ac:dyDescent="0.3">
      <c r="A14" s="402" t="s">
        <v>21</v>
      </c>
      <c r="B14" s="404" t="s">
        <v>418</v>
      </c>
    </row>
    <row r="15" spans="1:2" ht="15.05" thickBot="1" x14ac:dyDescent="0.3">
      <c r="A15" s="402" t="s">
        <v>23</v>
      </c>
      <c r="B15" s="401" t="s">
        <v>419</v>
      </c>
    </row>
    <row r="16" spans="1:2" ht="15.05" thickBot="1" x14ac:dyDescent="0.3">
      <c r="A16" s="402" t="s">
        <v>25</v>
      </c>
      <c r="B16" s="404" t="s">
        <v>420</v>
      </c>
    </row>
    <row r="17" spans="1:7" ht="15.05" thickBot="1" x14ac:dyDescent="0.3">
      <c r="A17" s="402" t="s">
        <v>421</v>
      </c>
      <c r="B17" s="401" t="s">
        <v>422</v>
      </c>
    </row>
    <row r="18" spans="1:7" ht="15.05" thickBot="1" x14ac:dyDescent="0.3">
      <c r="A18" s="402" t="s">
        <v>423</v>
      </c>
      <c r="B18" s="404" t="s">
        <v>424</v>
      </c>
    </row>
    <row r="19" spans="1:7" ht="23.2" thickBot="1" x14ac:dyDescent="0.3">
      <c r="A19" s="402" t="s">
        <v>30</v>
      </c>
      <c r="B19" s="401" t="s">
        <v>425</v>
      </c>
    </row>
    <row r="20" spans="1:7" ht="15.05" thickBot="1" x14ac:dyDescent="0.3">
      <c r="A20" s="405" t="s">
        <v>29</v>
      </c>
      <c r="B20" s="404" t="s">
        <v>426</v>
      </c>
    </row>
    <row r="21" spans="1:7" ht="15.05" thickBot="1" x14ac:dyDescent="0.3">
      <c r="A21" s="400" t="s">
        <v>31</v>
      </c>
      <c r="B21" s="401" t="s">
        <v>427</v>
      </c>
    </row>
    <row r="22" spans="1:7" ht="15.05" thickBot="1" x14ac:dyDescent="0.3">
      <c r="A22" s="402" t="s">
        <v>33</v>
      </c>
      <c r="B22" s="404" t="s">
        <v>428</v>
      </c>
    </row>
    <row r="23" spans="1:7" ht="15.05" thickBot="1" x14ac:dyDescent="0.3">
      <c r="A23" s="402" t="s">
        <v>35</v>
      </c>
      <c r="B23" s="401" t="s">
        <v>429</v>
      </c>
    </row>
    <row r="24" spans="1:7" ht="15.05" thickBot="1" x14ac:dyDescent="0.3">
      <c r="A24" s="402" t="s">
        <v>37</v>
      </c>
      <c r="B24" s="404" t="s">
        <v>430</v>
      </c>
    </row>
    <row r="25" spans="1:7" ht="15.05" thickBot="1" x14ac:dyDescent="0.3">
      <c r="A25" s="402" t="s">
        <v>38</v>
      </c>
      <c r="B25" s="401" t="s">
        <v>431</v>
      </c>
    </row>
    <row r="26" spans="1:7" ht="15.05" thickBot="1" x14ac:dyDescent="0.3">
      <c r="A26" s="402" t="s">
        <v>42</v>
      </c>
      <c r="B26" s="404" t="s">
        <v>432</v>
      </c>
    </row>
    <row r="27" spans="1:7" ht="15.05" thickBot="1" x14ac:dyDescent="0.3">
      <c r="A27" s="402" t="s">
        <v>40</v>
      </c>
      <c r="B27" s="401" t="s">
        <v>433</v>
      </c>
    </row>
    <row r="28" spans="1:7" ht="14.4" customHeight="1" thickBot="1" x14ac:dyDescent="0.3">
      <c r="A28" s="406" t="s">
        <v>44</v>
      </c>
      <c r="B28" s="407" t="s">
        <v>434</v>
      </c>
      <c r="C28" s="493" t="s">
        <v>437</v>
      </c>
      <c r="D28" s="493"/>
      <c r="E28" s="493"/>
      <c r="F28" s="493"/>
      <c r="G28" s="493"/>
    </row>
    <row r="29" spans="1:7" ht="15.05" thickBot="1" x14ac:dyDescent="0.3">
      <c r="A29" s="406" t="s">
        <v>46</v>
      </c>
      <c r="B29" s="408" t="s">
        <v>435</v>
      </c>
      <c r="C29" s="493"/>
      <c r="D29" s="493"/>
      <c r="E29" s="493"/>
      <c r="F29" s="493"/>
      <c r="G29" s="493"/>
    </row>
    <row r="30" spans="1:7" ht="15.05" thickBot="1" x14ac:dyDescent="0.3">
      <c r="A30" s="406" t="s">
        <v>48</v>
      </c>
      <c r="B30" s="409" t="s">
        <v>436</v>
      </c>
      <c r="C30" s="493"/>
      <c r="D30" s="493"/>
      <c r="E30" s="493"/>
      <c r="F30" s="493"/>
      <c r="G30" s="493"/>
    </row>
  </sheetData>
  <mergeCells count="1">
    <mergeCell ref="C28:G3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0EDE8-C322-EA44-8BD3-8F932B086922}">
  <dimension ref="A1:R176"/>
  <sheetViews>
    <sheetView tabSelected="1" zoomScale="60" zoomScaleNormal="60" workbookViewId="0">
      <pane xSplit="1" ySplit="3" topLeftCell="H4" activePane="bottomRight" state="frozen"/>
      <selection pane="topRight" activeCell="C1" sqref="C1"/>
      <selection pane="bottomLeft" activeCell="A4" sqref="A4"/>
      <selection pane="bottomRight" activeCell="A10" sqref="A10:XFD10"/>
    </sheetView>
  </sheetViews>
  <sheetFormatPr defaultColWidth="10.796875" defaultRowHeight="17.55" x14ac:dyDescent="0.3"/>
  <cols>
    <col min="1" max="1" width="30.69921875" style="274" customWidth="1"/>
    <col min="2" max="2" width="28.8984375" customWidth="1"/>
    <col min="3" max="3" width="18.5" style="278" customWidth="1"/>
    <col min="4" max="4" width="28.69921875" style="278" customWidth="1"/>
    <col min="5" max="5" width="26" style="88" customWidth="1"/>
    <col min="6" max="6" width="39.59765625" style="88" customWidth="1"/>
    <col min="7" max="7" width="32.8984375" style="98" customWidth="1"/>
    <col min="8" max="8" width="21.3984375" style="98" customWidth="1"/>
    <col min="9" max="9" width="23.09765625" style="101" customWidth="1"/>
    <col min="10" max="10" width="23.09765625" style="98" customWidth="1"/>
    <col min="11" max="11" width="21.69921875" style="101" customWidth="1"/>
    <col min="12" max="16384" width="10.796875" style="98"/>
  </cols>
  <sheetData>
    <row r="1" spans="1:18" ht="28.2" thickBot="1" x14ac:dyDescent="0.5">
      <c r="A1" s="269"/>
      <c r="B1" s="295" t="s">
        <v>359</v>
      </c>
      <c r="C1" s="496" t="s">
        <v>363</v>
      </c>
      <c r="D1" s="497"/>
      <c r="E1" s="279"/>
      <c r="F1" s="498" t="s">
        <v>173</v>
      </c>
      <c r="G1" s="499"/>
      <c r="H1" s="500" t="s">
        <v>49</v>
      </c>
      <c r="I1" s="500"/>
      <c r="J1" s="500" t="s">
        <v>64</v>
      </c>
      <c r="K1" s="500"/>
      <c r="L1" s="110"/>
    </row>
    <row r="2" spans="1:18" ht="55.9" customHeight="1" thickBot="1" x14ac:dyDescent="0.45">
      <c r="A2" s="270"/>
      <c r="B2" s="316" t="s">
        <v>368</v>
      </c>
      <c r="C2" s="321" t="s">
        <v>171</v>
      </c>
      <c r="D2" s="319" t="s">
        <v>360</v>
      </c>
      <c r="E2" s="317" t="s">
        <v>364</v>
      </c>
      <c r="F2" s="268" t="s">
        <v>366</v>
      </c>
      <c r="G2" s="268" t="s">
        <v>362</v>
      </c>
      <c r="H2" s="289" t="s">
        <v>1</v>
      </c>
      <c r="I2" s="290" t="s">
        <v>113</v>
      </c>
      <c r="J2" s="289" t="s">
        <v>1</v>
      </c>
      <c r="K2" s="290" t="s">
        <v>113</v>
      </c>
      <c r="L2" s="289"/>
    </row>
    <row r="3" spans="1:18" ht="18.2" thickBot="1" x14ac:dyDescent="0.35">
      <c r="A3" s="271"/>
      <c r="B3" s="95"/>
      <c r="C3" s="322"/>
      <c r="D3" s="320" t="s">
        <v>130</v>
      </c>
      <c r="E3" s="279"/>
      <c r="I3" s="276" t="s">
        <v>130</v>
      </c>
      <c r="K3" s="276" t="s">
        <v>130</v>
      </c>
      <c r="L3" s="110"/>
    </row>
    <row r="4" spans="1:18" ht="21.3" thickBot="1" x14ac:dyDescent="0.4">
      <c r="A4" s="272" t="s">
        <v>361</v>
      </c>
      <c r="B4" s="295">
        <v>40000</v>
      </c>
      <c r="C4" s="280">
        <f>B4</f>
        <v>40000</v>
      </c>
      <c r="D4" s="280"/>
      <c r="E4" s="318" t="s">
        <v>174</v>
      </c>
      <c r="F4" s="281">
        <v>0.3</v>
      </c>
      <c r="G4" s="282">
        <f t="shared" ref="G4" si="0">100%-F4</f>
        <v>0.7</v>
      </c>
      <c r="H4" s="291">
        <f>C4*F4</f>
        <v>12000</v>
      </c>
      <c r="I4" s="292"/>
      <c r="J4" s="291">
        <f>C4*G4</f>
        <v>28000</v>
      </c>
      <c r="K4" s="292"/>
      <c r="L4" s="110"/>
    </row>
    <row r="5" spans="1:18" thickBot="1" x14ac:dyDescent="0.3">
      <c r="A5" s="273" t="s">
        <v>175</v>
      </c>
      <c r="B5" s="104"/>
      <c r="C5" s="283">
        <f>(C4*1000)-C6</f>
        <v>36000000</v>
      </c>
      <c r="D5" s="300">
        <f>C5/C4</f>
        <v>900</v>
      </c>
      <c r="E5" s="328"/>
      <c r="F5" s="284">
        <f>(H5/C5)</f>
        <v>0.25888888888888889</v>
      </c>
      <c r="G5" s="282">
        <f>100%-F5</f>
        <v>0.74111111111111105</v>
      </c>
      <c r="H5" s="291">
        <f>(H4*1000)-H6</f>
        <v>9320000</v>
      </c>
      <c r="I5" s="293">
        <f t="shared" ref="I5:I30" si="1">H5/$H$4</f>
        <v>776.66666666666663</v>
      </c>
      <c r="J5" s="291">
        <f>(J4*1000)-J6</f>
        <v>26680000</v>
      </c>
      <c r="K5" s="293">
        <f t="shared" ref="K5:K30" si="2">J5/$J$4</f>
        <v>952.85714285714289</v>
      </c>
      <c r="L5" s="110"/>
    </row>
    <row r="6" spans="1:18" ht="21.3" thickBot="1" x14ac:dyDescent="0.4">
      <c r="A6" s="272" t="s">
        <v>176</v>
      </c>
      <c r="B6" s="295">
        <v>100</v>
      </c>
      <c r="C6" s="280">
        <f>C7+C10</f>
        <v>4000000</v>
      </c>
      <c r="D6" s="301">
        <f>C6/C4</f>
        <v>100</v>
      </c>
      <c r="E6" s="328"/>
      <c r="F6" s="284">
        <f>(H6/C6)</f>
        <v>0.67</v>
      </c>
      <c r="G6" s="282">
        <f>J6/C6</f>
        <v>0.33</v>
      </c>
      <c r="H6" s="291">
        <f>H7+H10</f>
        <v>2680000</v>
      </c>
      <c r="I6" s="293">
        <f t="shared" si="1"/>
        <v>223.33333333333334</v>
      </c>
      <c r="J6" s="291">
        <f>J7+J10</f>
        <v>1320000</v>
      </c>
      <c r="K6" s="293">
        <f t="shared" si="2"/>
        <v>47.142857142857146</v>
      </c>
      <c r="L6" s="110"/>
    </row>
    <row r="7" spans="1:18" thickBot="1" x14ac:dyDescent="0.3">
      <c r="A7" s="273" t="s">
        <v>177</v>
      </c>
      <c r="B7" s="265">
        <f>B6-B10</f>
        <v>40</v>
      </c>
      <c r="C7" s="280">
        <f>C8+C9</f>
        <v>1600000</v>
      </c>
      <c r="D7" s="297">
        <f>C7/C4</f>
        <v>40</v>
      </c>
      <c r="E7" s="328"/>
      <c r="F7" s="284">
        <f>(H7/C7)</f>
        <v>0.5</v>
      </c>
      <c r="G7" s="282">
        <f>J7/C7</f>
        <v>0.5</v>
      </c>
      <c r="H7" s="291">
        <f>H8+H9</f>
        <v>800000</v>
      </c>
      <c r="I7" s="293">
        <f t="shared" si="1"/>
        <v>66.666666666666671</v>
      </c>
      <c r="J7" s="291">
        <f>J8+J9</f>
        <v>800000</v>
      </c>
      <c r="K7" s="293">
        <f t="shared" si="2"/>
        <v>28.571428571428573</v>
      </c>
      <c r="L7" s="110"/>
      <c r="M7" s="99"/>
      <c r="N7" s="99"/>
      <c r="O7" s="99"/>
      <c r="P7" s="99"/>
      <c r="Q7" s="99"/>
      <c r="R7" s="99"/>
    </row>
    <row r="8" spans="1:18" thickBot="1" x14ac:dyDescent="0.3">
      <c r="A8" s="272" t="s">
        <v>178</v>
      </c>
      <c r="B8" s="98"/>
      <c r="C8" s="283">
        <f>D8*C4</f>
        <v>800000</v>
      </c>
      <c r="D8" s="300">
        <f>1/2*B7</f>
        <v>20</v>
      </c>
      <c r="E8" s="328"/>
      <c r="F8" s="281">
        <v>0.8</v>
      </c>
      <c r="G8" s="282">
        <f t="shared" ref="G8:G30" si="3">100%-F8</f>
        <v>0.19999999999999996</v>
      </c>
      <c r="H8" s="291">
        <f>C8*F8</f>
        <v>640000</v>
      </c>
      <c r="I8" s="293">
        <f t="shared" si="1"/>
        <v>53.333333333333336</v>
      </c>
      <c r="J8" s="291">
        <f>C8*G8</f>
        <v>159999.99999999997</v>
      </c>
      <c r="K8" s="293">
        <f t="shared" si="2"/>
        <v>5.7142857142857135</v>
      </c>
      <c r="L8" s="110"/>
      <c r="M8" s="99"/>
      <c r="N8" s="99"/>
      <c r="O8" s="99"/>
      <c r="P8" s="99"/>
      <c r="Q8" s="99"/>
      <c r="R8" s="99"/>
    </row>
    <row r="9" spans="1:18" thickBot="1" x14ac:dyDescent="0.3">
      <c r="A9" s="273" t="s">
        <v>179</v>
      </c>
      <c r="B9" s="98"/>
      <c r="C9" s="283">
        <f>D9*C4</f>
        <v>800000</v>
      </c>
      <c r="D9" s="300">
        <f>1/2*B7</f>
        <v>20</v>
      </c>
      <c r="E9" s="328"/>
      <c r="F9" s="281">
        <v>0.2</v>
      </c>
      <c r="G9" s="282">
        <f t="shared" si="3"/>
        <v>0.8</v>
      </c>
      <c r="H9" s="291">
        <f>C9*F9</f>
        <v>160000</v>
      </c>
      <c r="I9" s="293">
        <f t="shared" si="1"/>
        <v>13.333333333333334</v>
      </c>
      <c r="J9" s="291">
        <f>C9*G9</f>
        <v>640000</v>
      </c>
      <c r="K9" s="293">
        <f t="shared" si="2"/>
        <v>22.857142857142858</v>
      </c>
      <c r="L9" s="110"/>
      <c r="M9" s="99"/>
      <c r="N9" s="99"/>
      <c r="O9" s="99"/>
      <c r="P9" s="99"/>
    </row>
    <row r="10" spans="1:18" ht="21.3" thickBot="1" x14ac:dyDescent="0.4">
      <c r="A10" s="272" t="s">
        <v>180</v>
      </c>
      <c r="B10" s="295">
        <f>0.6*B6</f>
        <v>60</v>
      </c>
      <c r="C10" s="280">
        <f>C11+C12</f>
        <v>2400000</v>
      </c>
      <c r="D10" s="301">
        <f>C10/C4</f>
        <v>60</v>
      </c>
      <c r="E10" s="328"/>
      <c r="F10" s="284">
        <f>(H10/C10)</f>
        <v>0.78333333333333333</v>
      </c>
      <c r="G10" s="282">
        <f>J10/C10</f>
        <v>0.21666666666666665</v>
      </c>
      <c r="H10" s="291">
        <f>H11+H12</f>
        <v>1880000</v>
      </c>
      <c r="I10" s="293">
        <f t="shared" si="1"/>
        <v>156.66666666666666</v>
      </c>
      <c r="J10" s="291">
        <f>J11+J12</f>
        <v>519999.99999999994</v>
      </c>
      <c r="K10" s="293">
        <f t="shared" si="2"/>
        <v>18.571428571428569</v>
      </c>
      <c r="L10" s="110"/>
    </row>
    <row r="11" spans="1:18" thickBot="1" x14ac:dyDescent="0.3">
      <c r="A11" s="273" t="s">
        <v>181</v>
      </c>
      <c r="B11" s="98"/>
      <c r="C11" s="283">
        <f>D11*C4</f>
        <v>2000000</v>
      </c>
      <c r="D11" s="300">
        <f>5/6*B10</f>
        <v>50</v>
      </c>
      <c r="E11" s="328"/>
      <c r="F11" s="281">
        <v>0.9</v>
      </c>
      <c r="G11" s="282">
        <f t="shared" si="3"/>
        <v>9.9999999999999978E-2</v>
      </c>
      <c r="H11" s="291">
        <f>C11*F11</f>
        <v>1800000</v>
      </c>
      <c r="I11" s="293">
        <f t="shared" si="1"/>
        <v>150</v>
      </c>
      <c r="J11" s="291">
        <f>C11*G11</f>
        <v>199999.99999999994</v>
      </c>
      <c r="K11" s="293">
        <f t="shared" si="2"/>
        <v>7.1428571428571406</v>
      </c>
      <c r="L11" s="110"/>
    </row>
    <row r="12" spans="1:18" thickBot="1" x14ac:dyDescent="0.3">
      <c r="A12" s="272" t="s">
        <v>182</v>
      </c>
      <c r="B12" s="98"/>
      <c r="C12" s="283">
        <f>D12*C4</f>
        <v>400000</v>
      </c>
      <c r="D12" s="300">
        <f>1/6*B10</f>
        <v>10</v>
      </c>
      <c r="E12" s="328"/>
      <c r="F12" s="281">
        <v>0.2</v>
      </c>
      <c r="G12" s="282">
        <f t="shared" si="3"/>
        <v>0.8</v>
      </c>
      <c r="H12" s="291">
        <f>C12*F12</f>
        <v>80000</v>
      </c>
      <c r="I12" s="293">
        <f t="shared" si="1"/>
        <v>6.666666666666667</v>
      </c>
      <c r="J12" s="291">
        <f>C12*G12</f>
        <v>320000</v>
      </c>
      <c r="K12" s="293">
        <f t="shared" si="2"/>
        <v>11.428571428571429</v>
      </c>
      <c r="L12" s="110"/>
    </row>
    <row r="13" spans="1:18" ht="21.3" thickBot="1" x14ac:dyDescent="0.4">
      <c r="A13" s="273" t="s">
        <v>183</v>
      </c>
      <c r="B13" s="295">
        <v>6.7</v>
      </c>
      <c r="C13" s="280">
        <f>C14+C17</f>
        <v>268000</v>
      </c>
      <c r="D13" s="299">
        <f>C13/C4</f>
        <v>6.7</v>
      </c>
      <c r="E13" s="328"/>
      <c r="F13" s="284">
        <f>(H13/C13)</f>
        <v>0.33630535972619174</v>
      </c>
      <c r="G13" s="282">
        <f>J13/C13</f>
        <v>0.6636946402738082</v>
      </c>
      <c r="H13" s="291">
        <f>H14+H17</f>
        <v>90129.83640661939</v>
      </c>
      <c r="I13" s="293">
        <f t="shared" si="1"/>
        <v>7.5108197005516155</v>
      </c>
      <c r="J13" s="291">
        <f>J14+J17</f>
        <v>177870.1635933806</v>
      </c>
      <c r="K13" s="293">
        <f t="shared" si="2"/>
        <v>6.3525058426207357</v>
      </c>
      <c r="L13" s="110"/>
    </row>
    <row r="14" spans="1:18" thickBot="1" x14ac:dyDescent="0.3">
      <c r="A14" s="272" t="s">
        <v>184</v>
      </c>
      <c r="B14" s="265">
        <f>D16/0.94</f>
        <v>3.9361702127659579</v>
      </c>
      <c r="C14" s="280">
        <f>C15+C16</f>
        <v>157446.80851063831</v>
      </c>
      <c r="D14" s="296">
        <f>C14/C4</f>
        <v>3.9361702127659579</v>
      </c>
      <c r="E14" s="328"/>
      <c r="F14" s="284">
        <f>(H14/C14)</f>
        <v>0.28535555555555558</v>
      </c>
      <c r="G14" s="282">
        <f>J14/C14</f>
        <v>0.71464444444444442</v>
      </c>
      <c r="H14" s="291">
        <f>H15+H16</f>
        <v>44928.321513002375</v>
      </c>
      <c r="I14" s="293">
        <f t="shared" si="1"/>
        <v>3.7440267927501978</v>
      </c>
      <c r="J14" s="291">
        <f>J15+J16</f>
        <v>112518.48699763593</v>
      </c>
      <c r="K14" s="293">
        <f t="shared" si="2"/>
        <v>4.0185173927727122</v>
      </c>
      <c r="L14" s="110"/>
    </row>
    <row r="15" spans="1:18" thickBot="1" x14ac:dyDescent="0.3">
      <c r="A15" s="273" t="s">
        <v>185</v>
      </c>
      <c r="B15" s="98"/>
      <c r="C15" s="280">
        <f>D15*C4</f>
        <v>9446.8085106383096</v>
      </c>
      <c r="D15" s="296">
        <f>B14-D16</f>
        <v>0.23617021276595773</v>
      </c>
      <c r="E15" s="328"/>
      <c r="F15" s="281">
        <v>0.7</v>
      </c>
      <c r="G15" s="282">
        <f t="shared" si="3"/>
        <v>0.30000000000000004</v>
      </c>
      <c r="H15" s="291">
        <f>C15*F15</f>
        <v>6612.7659574468162</v>
      </c>
      <c r="I15" s="293">
        <f t="shared" si="1"/>
        <v>0.55106382978723467</v>
      </c>
      <c r="J15" s="291">
        <f>C15*G15</f>
        <v>2834.0425531914934</v>
      </c>
      <c r="K15" s="293">
        <f t="shared" si="2"/>
        <v>0.10121580547112477</v>
      </c>
      <c r="L15" s="110"/>
    </row>
    <row r="16" spans="1:18" ht="21.3" thickBot="1" x14ac:dyDescent="0.4">
      <c r="A16" s="272" t="s">
        <v>186</v>
      </c>
      <c r="B16" s="295">
        <v>3.7</v>
      </c>
      <c r="C16" s="283">
        <f>D16*C4</f>
        <v>148000</v>
      </c>
      <c r="D16" s="299">
        <f>B16</f>
        <v>3.7</v>
      </c>
      <c r="E16" s="328"/>
      <c r="F16" s="281">
        <f>$F$5</f>
        <v>0.25888888888888889</v>
      </c>
      <c r="G16" s="282">
        <f t="shared" si="3"/>
        <v>0.74111111111111105</v>
      </c>
      <c r="H16" s="291">
        <f>C16*F16</f>
        <v>38315.555555555555</v>
      </c>
      <c r="I16" s="293">
        <f t="shared" si="1"/>
        <v>3.1929629629629628</v>
      </c>
      <c r="J16" s="291">
        <f>C16*G16</f>
        <v>109684.44444444444</v>
      </c>
      <c r="K16" s="293">
        <f t="shared" si="2"/>
        <v>3.9173015873015871</v>
      </c>
      <c r="L16" s="110"/>
    </row>
    <row r="17" spans="1:12" thickBot="1" x14ac:dyDescent="0.3">
      <c r="A17" s="273" t="s">
        <v>187</v>
      </c>
      <c r="B17" s="265">
        <f>B13-B14</f>
        <v>2.7638297872340423</v>
      </c>
      <c r="C17" s="280">
        <f>C18+C19</f>
        <v>110553.19148936169</v>
      </c>
      <c r="D17" s="296">
        <f>C17/C4</f>
        <v>2.7638297872340423</v>
      </c>
      <c r="E17" s="328"/>
      <c r="F17" s="284">
        <f>(H17/C17)</f>
        <v>0.40886666666666666</v>
      </c>
      <c r="G17" s="282">
        <f>J17/C17</f>
        <v>0.59113333333333329</v>
      </c>
      <c r="H17" s="291">
        <f>H18+H19</f>
        <v>45201.514893617015</v>
      </c>
      <c r="I17" s="293">
        <f t="shared" si="1"/>
        <v>3.7667929078014177</v>
      </c>
      <c r="J17" s="291">
        <f>J18+J19</f>
        <v>65351.67659574467</v>
      </c>
      <c r="K17" s="293">
        <f t="shared" si="2"/>
        <v>2.3339884498480239</v>
      </c>
      <c r="L17" s="110"/>
    </row>
    <row r="18" spans="1:12" thickBot="1" x14ac:dyDescent="0.3">
      <c r="A18" s="272" t="s">
        <v>188</v>
      </c>
      <c r="B18" s="98"/>
      <c r="C18" s="283">
        <f>D18*C4</f>
        <v>37588.085106382976</v>
      </c>
      <c r="D18" s="298">
        <f>0.34*B17</f>
        <v>0.93970212765957439</v>
      </c>
      <c r="E18" s="328"/>
      <c r="F18" s="281">
        <v>0.7</v>
      </c>
      <c r="G18" s="282">
        <f t="shared" si="3"/>
        <v>0.30000000000000004</v>
      </c>
      <c r="H18" s="291">
        <f>C18*F18</f>
        <v>26311.659574468082</v>
      </c>
      <c r="I18" s="293">
        <f t="shared" si="1"/>
        <v>2.1926382978723402</v>
      </c>
      <c r="J18" s="291">
        <f>C18*G18</f>
        <v>11276.425531914894</v>
      </c>
      <c r="K18" s="293">
        <f t="shared" si="2"/>
        <v>0.40272948328267477</v>
      </c>
      <c r="L18" s="110"/>
    </row>
    <row r="19" spans="1:12" thickBot="1" x14ac:dyDescent="0.3">
      <c r="A19" s="273" t="s">
        <v>189</v>
      </c>
      <c r="B19" s="98"/>
      <c r="C19" s="283">
        <f>D19*C4</f>
        <v>72965.106382978716</v>
      </c>
      <c r="D19" s="298">
        <f>0.66*B17</f>
        <v>1.824127659574468</v>
      </c>
      <c r="E19" s="328"/>
      <c r="F19" s="281">
        <f>$F$5</f>
        <v>0.25888888888888889</v>
      </c>
      <c r="G19" s="282">
        <f t="shared" si="3"/>
        <v>0.74111111111111105</v>
      </c>
      <c r="H19" s="291">
        <f>C19*F19</f>
        <v>18889.855319148934</v>
      </c>
      <c r="I19" s="293">
        <f t="shared" si="1"/>
        <v>1.5741546099290777</v>
      </c>
      <c r="J19" s="291">
        <f>C19*G19</f>
        <v>54075.251063829775</v>
      </c>
      <c r="K19" s="293">
        <f t="shared" si="2"/>
        <v>1.931258966565349</v>
      </c>
      <c r="L19" s="110"/>
    </row>
    <row r="20" spans="1:12" ht="21.3" thickBot="1" x14ac:dyDescent="0.4">
      <c r="A20" s="272" t="s">
        <v>190</v>
      </c>
      <c r="B20" s="295">
        <v>1.8</v>
      </c>
      <c r="C20" s="280">
        <f>C21+C24</f>
        <v>72000</v>
      </c>
      <c r="D20" s="299">
        <f>C20/C4</f>
        <v>1.8</v>
      </c>
      <c r="E20" s="328"/>
      <c r="F20" s="284">
        <f>(H20/C20)</f>
        <v>0.58972222222222226</v>
      </c>
      <c r="G20" s="282">
        <f>J20/C20</f>
        <v>0.4102777777777778</v>
      </c>
      <c r="H20" s="291">
        <f>H21+H24</f>
        <v>42460</v>
      </c>
      <c r="I20" s="293">
        <f t="shared" si="1"/>
        <v>3.5383333333333336</v>
      </c>
      <c r="J20" s="291">
        <f>J21+J24</f>
        <v>29540</v>
      </c>
      <c r="K20" s="293">
        <f t="shared" si="2"/>
        <v>1.0549999999999999</v>
      </c>
      <c r="L20" s="110"/>
    </row>
    <row r="21" spans="1:12" thickBot="1" x14ac:dyDescent="0.3">
      <c r="A21" s="273" t="s">
        <v>191</v>
      </c>
      <c r="B21" s="98"/>
      <c r="C21" s="280">
        <f>C22+C23</f>
        <v>3600.0000000000005</v>
      </c>
      <c r="D21" s="296">
        <f>C21/C4</f>
        <v>9.0000000000000011E-2</v>
      </c>
      <c r="E21" s="328"/>
      <c r="F21" s="284">
        <f>(H21/C21)</f>
        <v>0.61177777777777775</v>
      </c>
      <c r="G21" s="282">
        <f>J21/C21</f>
        <v>0.3882222222222223</v>
      </c>
      <c r="H21" s="291">
        <f>H22+H23</f>
        <v>2202.4</v>
      </c>
      <c r="I21" s="293">
        <f t="shared" si="1"/>
        <v>0.18353333333333335</v>
      </c>
      <c r="J21" s="291">
        <f>J22+J23</f>
        <v>1397.6000000000004</v>
      </c>
      <c r="K21" s="293">
        <f t="shared" si="2"/>
        <v>4.991428571428573E-2</v>
      </c>
      <c r="L21" s="110"/>
    </row>
    <row r="22" spans="1:12" thickBot="1" x14ac:dyDescent="0.3">
      <c r="A22" s="272" t="s">
        <v>192</v>
      </c>
      <c r="B22" s="100"/>
      <c r="C22" s="280">
        <f>D22*C4</f>
        <v>2880.0000000000005</v>
      </c>
      <c r="D22" s="296">
        <f>0.04*B20</f>
        <v>7.2000000000000008E-2</v>
      </c>
      <c r="E22" s="328"/>
      <c r="F22" s="281">
        <v>0.7</v>
      </c>
      <c r="G22" s="282">
        <f t="shared" si="3"/>
        <v>0.30000000000000004</v>
      </c>
      <c r="H22" s="291">
        <f>C22*F22</f>
        <v>2016.0000000000002</v>
      </c>
      <c r="I22" s="293">
        <f t="shared" si="1"/>
        <v>0.16800000000000001</v>
      </c>
      <c r="J22" s="291">
        <f>C22*G22</f>
        <v>864.00000000000023</v>
      </c>
      <c r="K22" s="293">
        <f t="shared" si="2"/>
        <v>3.0857142857142864E-2</v>
      </c>
      <c r="L22" s="110"/>
    </row>
    <row r="23" spans="1:12" thickBot="1" x14ac:dyDescent="0.3">
      <c r="A23" s="273" t="s">
        <v>193</v>
      </c>
      <c r="B23" s="266">
        <v>5.8999999999999997E-2</v>
      </c>
      <c r="C23" s="283">
        <f>D23*C4</f>
        <v>720.00000000000011</v>
      </c>
      <c r="D23" s="298">
        <f>0.01*B20</f>
        <v>1.8000000000000002E-2</v>
      </c>
      <c r="E23" s="328"/>
      <c r="F23" s="281">
        <f>$F$5</f>
        <v>0.25888888888888889</v>
      </c>
      <c r="G23" s="282">
        <f t="shared" si="3"/>
        <v>0.74111111111111105</v>
      </c>
      <c r="H23" s="291">
        <f>C23*F23</f>
        <v>186.40000000000003</v>
      </c>
      <c r="I23" s="294">
        <f t="shared" si="1"/>
        <v>1.5533333333333336E-2</v>
      </c>
      <c r="J23" s="291">
        <f>C23*G23</f>
        <v>533.6</v>
      </c>
      <c r="K23" s="293">
        <f t="shared" si="2"/>
        <v>1.9057142857142859E-2</v>
      </c>
      <c r="L23" s="110"/>
    </row>
    <row r="24" spans="1:12" thickBot="1" x14ac:dyDescent="0.3">
      <c r="A24" s="272" t="s">
        <v>194</v>
      </c>
      <c r="B24" s="100"/>
      <c r="C24" s="280">
        <f>C25+C26</f>
        <v>68400</v>
      </c>
      <c r="D24" s="296">
        <f>C24/C4</f>
        <v>1.71</v>
      </c>
      <c r="E24" s="328"/>
      <c r="F24" s="284">
        <f>(H24/C24)</f>
        <v>0.58856140350877195</v>
      </c>
      <c r="G24" s="282">
        <f>J24/C24</f>
        <v>0.4114385964912281</v>
      </c>
      <c r="H24" s="291">
        <f>H25+H26</f>
        <v>40257.599999999999</v>
      </c>
      <c r="I24" s="293">
        <f t="shared" si="1"/>
        <v>3.3548</v>
      </c>
      <c r="J24" s="291">
        <f>J25+J26</f>
        <v>28142.400000000001</v>
      </c>
      <c r="K24" s="293">
        <f t="shared" si="2"/>
        <v>1.0050857142857144</v>
      </c>
      <c r="L24" s="110"/>
    </row>
    <row r="25" spans="1:12" thickBot="1" x14ac:dyDescent="0.3">
      <c r="A25" s="273" t="s">
        <v>195</v>
      </c>
      <c r="B25" s="100"/>
      <c r="C25" s="283">
        <f>D25*C4</f>
        <v>51120</v>
      </c>
      <c r="D25" s="298">
        <f>0.71*B20</f>
        <v>1.278</v>
      </c>
      <c r="E25" s="328"/>
      <c r="F25" s="281">
        <v>0.7</v>
      </c>
      <c r="G25" s="282">
        <f t="shared" si="3"/>
        <v>0.30000000000000004</v>
      </c>
      <c r="H25" s="291">
        <f>C25*F25</f>
        <v>35784</v>
      </c>
      <c r="I25" s="293">
        <f t="shared" si="1"/>
        <v>2.9820000000000002</v>
      </c>
      <c r="J25" s="291">
        <f>C25*G25</f>
        <v>15336.000000000002</v>
      </c>
      <c r="K25" s="293">
        <f t="shared" si="2"/>
        <v>0.54771428571428582</v>
      </c>
      <c r="L25" s="110"/>
    </row>
    <row r="26" spans="1:12" thickBot="1" x14ac:dyDescent="0.3">
      <c r="A26" s="272" t="s">
        <v>196</v>
      </c>
      <c r="B26" s="100"/>
      <c r="C26" s="283">
        <f>D26*C4</f>
        <v>17280</v>
      </c>
      <c r="D26" s="298">
        <f>0.24*B20</f>
        <v>0.432</v>
      </c>
      <c r="E26" s="328"/>
      <c r="F26" s="281">
        <f>$F$5</f>
        <v>0.25888888888888889</v>
      </c>
      <c r="G26" s="282">
        <f t="shared" si="3"/>
        <v>0.74111111111111105</v>
      </c>
      <c r="H26" s="291">
        <f>C26*F26</f>
        <v>4473.6000000000004</v>
      </c>
      <c r="I26" s="293">
        <f t="shared" si="1"/>
        <v>0.37280000000000002</v>
      </c>
      <c r="J26" s="291">
        <f>C26*G26</f>
        <v>12806.4</v>
      </c>
      <c r="K26" s="293">
        <f t="shared" si="2"/>
        <v>0.45737142857142854</v>
      </c>
      <c r="L26" s="110"/>
    </row>
    <row r="27" spans="1:12" ht="21.3" thickBot="1" x14ac:dyDescent="0.4">
      <c r="A27" s="273" t="s">
        <v>197</v>
      </c>
      <c r="B27" s="295">
        <f>6.2*0.83</f>
        <v>5.1459999999999999</v>
      </c>
      <c r="C27" s="280">
        <f>C28</f>
        <v>205840</v>
      </c>
      <c r="D27" s="299">
        <f>C27/C4</f>
        <v>5.1459999999999999</v>
      </c>
      <c r="E27" s="328"/>
      <c r="F27" s="284">
        <f>(H27/C27)</f>
        <v>0.2646444444444444</v>
      </c>
      <c r="G27" s="282">
        <f>J27/C27</f>
        <v>0.73535555555555543</v>
      </c>
      <c r="H27" s="291">
        <f>H28+H31</f>
        <v>54474.412444444439</v>
      </c>
      <c r="I27" s="293">
        <f t="shared" si="1"/>
        <v>4.5395343703703697</v>
      </c>
      <c r="J27" s="291">
        <f>J28+J31</f>
        <v>151365.58755555554</v>
      </c>
      <c r="K27" s="293">
        <f t="shared" si="2"/>
        <v>5.4059138412698404</v>
      </c>
      <c r="L27" s="110"/>
    </row>
    <row r="28" spans="1:12" thickBot="1" x14ac:dyDescent="0.3">
      <c r="A28" s="272" t="s">
        <v>198</v>
      </c>
      <c r="B28" s="98"/>
      <c r="C28" s="280">
        <f>C29+C30</f>
        <v>205840</v>
      </c>
      <c r="D28" s="296">
        <f>C28/C4</f>
        <v>5.1459999999999999</v>
      </c>
      <c r="E28" s="328"/>
      <c r="F28" s="284">
        <f>(H28/C28)</f>
        <v>0.2646444444444444</v>
      </c>
      <c r="G28" s="282">
        <f>J28/C28</f>
        <v>0.73535555555555543</v>
      </c>
      <c r="H28" s="291">
        <f>H29+H30</f>
        <v>54474.412444444439</v>
      </c>
      <c r="I28" s="293">
        <f t="shared" si="1"/>
        <v>4.5395343703703697</v>
      </c>
      <c r="J28" s="291">
        <f>J29+J30</f>
        <v>151365.58755555554</v>
      </c>
      <c r="K28" s="293">
        <f t="shared" si="2"/>
        <v>5.4059138412698404</v>
      </c>
      <c r="L28" s="110"/>
    </row>
    <row r="29" spans="1:12" thickBot="1" x14ac:dyDescent="0.3">
      <c r="A29" s="273" t="s">
        <v>199</v>
      </c>
      <c r="B29" s="100"/>
      <c r="C29" s="280">
        <f>D29*C4</f>
        <v>28817.600000000002</v>
      </c>
      <c r="D29" s="296">
        <f>0.14*B27</f>
        <v>0.72044000000000008</v>
      </c>
      <c r="E29" s="328"/>
      <c r="F29" s="281">
        <v>0.3</v>
      </c>
      <c r="G29" s="282">
        <f t="shared" si="3"/>
        <v>0.7</v>
      </c>
      <c r="H29" s="291">
        <f>C29*F29</f>
        <v>8645.2800000000007</v>
      </c>
      <c r="I29" s="293">
        <f t="shared" si="1"/>
        <v>0.72044000000000008</v>
      </c>
      <c r="J29" s="291">
        <f>C29*G29</f>
        <v>20172.32</v>
      </c>
      <c r="K29" s="293">
        <f t="shared" si="2"/>
        <v>0.72043999999999997</v>
      </c>
      <c r="L29" s="110"/>
    </row>
    <row r="30" spans="1:12" thickBot="1" x14ac:dyDescent="0.3">
      <c r="A30" s="272" t="s">
        <v>200</v>
      </c>
      <c r="B30" s="100"/>
      <c r="C30" s="283">
        <f>D30*C4</f>
        <v>177022.4</v>
      </c>
      <c r="D30" s="298">
        <f>0.86*B27</f>
        <v>4.4255599999999999</v>
      </c>
      <c r="E30" s="328"/>
      <c r="F30" s="281">
        <f>$F$5</f>
        <v>0.25888888888888889</v>
      </c>
      <c r="G30" s="282">
        <f t="shared" si="3"/>
        <v>0.74111111111111105</v>
      </c>
      <c r="H30" s="291">
        <f>C30*F30</f>
        <v>45829.13244444444</v>
      </c>
      <c r="I30" s="293">
        <f t="shared" si="1"/>
        <v>3.8190943703703701</v>
      </c>
      <c r="J30" s="291">
        <f>C30*G30</f>
        <v>131193.26755555553</v>
      </c>
      <c r="K30" s="293">
        <f t="shared" si="2"/>
        <v>4.6854738412698405</v>
      </c>
      <c r="L30" s="262"/>
    </row>
    <row r="31" spans="1:12" ht="14.4" x14ac:dyDescent="0.25">
      <c r="A31" s="262"/>
      <c r="B31" s="98"/>
      <c r="C31" s="262"/>
      <c r="D31" s="262"/>
      <c r="E31" s="262"/>
      <c r="F31" s="262"/>
      <c r="G31" s="262"/>
      <c r="H31" s="262"/>
      <c r="I31" s="262"/>
      <c r="J31" s="262"/>
      <c r="K31" s="262"/>
      <c r="L31" s="262"/>
    </row>
    <row r="32" spans="1:12" s="304" customFormat="1" ht="15.05" thickBot="1" x14ac:dyDescent="0.3"/>
    <row r="33" spans="1:12" ht="15.05" thickBot="1" x14ac:dyDescent="0.3">
      <c r="A33" s="262"/>
      <c r="B33" s="98"/>
      <c r="C33" s="262"/>
      <c r="D33" s="262"/>
      <c r="E33" s="262"/>
      <c r="F33" s="262"/>
      <c r="G33" s="262"/>
      <c r="H33" s="262"/>
      <c r="I33" s="262"/>
      <c r="J33" s="262"/>
      <c r="K33" s="262"/>
      <c r="L33" s="262"/>
    </row>
    <row r="34" spans="1:12" ht="18.2" x14ac:dyDescent="0.35">
      <c r="C34" s="275"/>
      <c r="E34" s="494" t="str">
        <f>CONCATENATE(E35,"% polymer solution")</f>
        <v>0,5% polymer solution</v>
      </c>
      <c r="F34" s="495"/>
      <c r="H34" s="95"/>
      <c r="I34" s="267"/>
      <c r="J34" s="95"/>
      <c r="K34" s="267"/>
      <c r="L34" s="262"/>
    </row>
    <row r="35" spans="1:12" ht="18.2" x14ac:dyDescent="0.35">
      <c r="C35" s="275"/>
      <c r="D35" s="275"/>
      <c r="E35" s="305">
        <v>0.5</v>
      </c>
      <c r="F35" s="308" t="s">
        <v>14</v>
      </c>
      <c r="I35" s="267"/>
      <c r="J35" s="95"/>
      <c r="K35" s="267"/>
      <c r="L35" s="262"/>
    </row>
    <row r="36" spans="1:12" x14ac:dyDescent="0.3">
      <c r="A36" s="262"/>
      <c r="B36" s="105"/>
      <c r="C36" s="275"/>
      <c r="D36" s="275"/>
      <c r="E36" s="307">
        <f>E35*10</f>
        <v>5</v>
      </c>
      <c r="F36" s="306" t="s">
        <v>365</v>
      </c>
      <c r="H36" s="95"/>
      <c r="I36" s="95"/>
      <c r="J36" s="95"/>
      <c r="K36" s="95"/>
      <c r="L36" s="262"/>
    </row>
    <row r="37" spans="1:12" ht="16.75" customHeight="1" x14ac:dyDescent="0.35">
      <c r="A37" s="96"/>
      <c r="B37" s="96"/>
      <c r="C37" s="275"/>
      <c r="D37" s="275"/>
      <c r="E37" s="305">
        <v>1</v>
      </c>
      <c r="F37" s="306" t="s">
        <v>201</v>
      </c>
      <c r="G37" s="95"/>
      <c r="H37" s="95"/>
      <c r="I37" s="96"/>
      <c r="J37" s="96"/>
      <c r="K37" s="96"/>
      <c r="L37" s="262"/>
    </row>
    <row r="38" spans="1:12" ht="18.8" thickBot="1" x14ac:dyDescent="0.4">
      <c r="A38" s="262"/>
      <c r="B38" s="105"/>
      <c r="C38" s="276"/>
      <c r="D38" s="276"/>
      <c r="E38" s="305">
        <v>100</v>
      </c>
      <c r="F38" s="310" t="str">
        <f>CONCATENATE("L ",E34,"/ton input")</f>
        <v>L 0,5% polymer solution/ton input</v>
      </c>
      <c r="G38" s="95"/>
      <c r="H38" s="95"/>
      <c r="I38" s="95"/>
      <c r="J38" s="95"/>
      <c r="K38" s="95"/>
      <c r="L38" s="262"/>
    </row>
    <row r="39" spans="1:12" s="262" customFormat="1" ht="21.3" thickBot="1" x14ac:dyDescent="0.4">
      <c r="A39" s="272" t="s">
        <v>361</v>
      </c>
      <c r="B39" s="295">
        <v>40000</v>
      </c>
      <c r="C39" s="280">
        <f>B39</f>
        <v>40000</v>
      </c>
      <c r="D39" s="411"/>
      <c r="E39" s="421">
        <f>(E38*E37/1000)*C39</f>
        <v>4000</v>
      </c>
      <c r="F39" s="418">
        <v>0.28000000000000003</v>
      </c>
      <c r="G39" s="282">
        <f>100%-F39</f>
        <v>0.72</v>
      </c>
      <c r="H39" s="291">
        <f>($C39+$E39)*F39</f>
        <v>12320.000000000002</v>
      </c>
      <c r="I39" s="292"/>
      <c r="J39" s="291">
        <f>($C39+$E39)*G39</f>
        <v>31680</v>
      </c>
      <c r="K39" s="292"/>
    </row>
    <row r="40" spans="1:12" s="262" customFormat="1" thickBot="1" x14ac:dyDescent="0.3">
      <c r="A40" s="273" t="s">
        <v>175</v>
      </c>
      <c r="C40" s="283">
        <f>(C39*1000)-C41</f>
        <v>34400000</v>
      </c>
      <c r="D40" s="412">
        <f>C40/C39</f>
        <v>860</v>
      </c>
      <c r="E40" s="422">
        <f>(E39*1000)-E41</f>
        <v>3980000</v>
      </c>
      <c r="F40" s="419">
        <f>(H40/C40)</f>
        <v>0.24529069767441866</v>
      </c>
      <c r="G40" s="282">
        <f>100%-F40</f>
        <v>0.75470930232558131</v>
      </c>
      <c r="H40" s="291">
        <f>(H39*1000)-H41</f>
        <v>8438000.0000000019</v>
      </c>
      <c r="I40" s="293">
        <f>H39/$H$39</f>
        <v>1</v>
      </c>
      <c r="J40" s="291">
        <f>(J39*1000)-J41</f>
        <v>29942000</v>
      </c>
      <c r="K40" s="293">
        <f t="shared" ref="K40:K65" si="4">J40/$J$39</f>
        <v>945.13888888888891</v>
      </c>
    </row>
    <row r="41" spans="1:12" s="262" customFormat="1" ht="21.3" thickBot="1" x14ac:dyDescent="0.4">
      <c r="A41" s="272" t="s">
        <v>176</v>
      </c>
      <c r="B41" s="295">
        <v>140</v>
      </c>
      <c r="C41" s="280">
        <f>C42+C45</f>
        <v>5600000</v>
      </c>
      <c r="D41" s="413">
        <f>C41/C39</f>
        <v>140</v>
      </c>
      <c r="E41" s="422">
        <f>E42+E45</f>
        <v>20000</v>
      </c>
      <c r="F41" s="419">
        <f>(H41/C41)</f>
        <v>0.69321428571428567</v>
      </c>
      <c r="G41" s="282">
        <f>J41/C41</f>
        <v>0.31035714285714283</v>
      </c>
      <c r="H41" s="291">
        <f>H42+H45</f>
        <v>3882000</v>
      </c>
      <c r="I41" s="293">
        <f t="shared" ref="I41:I65" si="5">H41/$H$39</f>
        <v>315.09740259740255</v>
      </c>
      <c r="J41" s="291">
        <f>J42+J45</f>
        <v>1738000</v>
      </c>
      <c r="K41" s="293">
        <f t="shared" si="4"/>
        <v>54.861111111111114</v>
      </c>
    </row>
    <row r="42" spans="1:12" s="262" customFormat="1" thickBot="1" x14ac:dyDescent="0.3">
      <c r="A42" s="273" t="s">
        <v>177</v>
      </c>
      <c r="B42" s="265">
        <f>B41-B45</f>
        <v>56</v>
      </c>
      <c r="C42" s="280">
        <f>C43+C44</f>
        <v>2240000</v>
      </c>
      <c r="D42" s="414">
        <f>C42/C39</f>
        <v>56</v>
      </c>
      <c r="E42" s="422">
        <f>E43+E44</f>
        <v>0</v>
      </c>
      <c r="F42" s="419">
        <f>(H42/C42)</f>
        <v>0.52500000000000002</v>
      </c>
      <c r="G42" s="282">
        <f>J42/C42</f>
        <v>0.47499999999999998</v>
      </c>
      <c r="H42" s="291">
        <f>H43+H44</f>
        <v>1176000</v>
      </c>
      <c r="I42" s="293">
        <f t="shared" si="5"/>
        <v>95.454545454545439</v>
      </c>
      <c r="J42" s="291">
        <f>J43+J44</f>
        <v>1064000</v>
      </c>
      <c r="K42" s="293">
        <f t="shared" si="4"/>
        <v>33.585858585858588</v>
      </c>
    </row>
    <row r="43" spans="1:12" s="262" customFormat="1" thickBot="1" x14ac:dyDescent="0.3">
      <c r="A43" s="272" t="s">
        <v>178</v>
      </c>
      <c r="C43" s="283">
        <f>D43*C39</f>
        <v>1120000</v>
      </c>
      <c r="D43" s="412">
        <f>1/2*B42</f>
        <v>28</v>
      </c>
      <c r="E43" s="422">
        <v>0</v>
      </c>
      <c r="F43" s="420">
        <v>0.8</v>
      </c>
      <c r="G43" s="282">
        <f t="shared" ref="G43:G44" si="6">100%-F43</f>
        <v>0.19999999999999996</v>
      </c>
      <c r="H43" s="291">
        <f>($C43+$E43)*F43</f>
        <v>896000</v>
      </c>
      <c r="I43" s="293">
        <f t="shared" si="5"/>
        <v>72.72727272727272</v>
      </c>
      <c r="J43" s="291">
        <f>($C43+$E43)*G43</f>
        <v>223999.99999999994</v>
      </c>
      <c r="K43" s="293">
        <f t="shared" si="4"/>
        <v>7.0707070707070692</v>
      </c>
    </row>
    <row r="44" spans="1:12" s="262" customFormat="1" thickBot="1" x14ac:dyDescent="0.3">
      <c r="A44" s="273" t="s">
        <v>179</v>
      </c>
      <c r="C44" s="283">
        <f>D44*C39</f>
        <v>1120000</v>
      </c>
      <c r="D44" s="412">
        <f>1/2*B42</f>
        <v>28</v>
      </c>
      <c r="E44" s="422">
        <v>0</v>
      </c>
      <c r="F44" s="420">
        <v>0.25</v>
      </c>
      <c r="G44" s="282">
        <f t="shared" si="6"/>
        <v>0.75</v>
      </c>
      <c r="H44" s="291">
        <f>($C44+$E44)*F44</f>
        <v>280000</v>
      </c>
      <c r="I44" s="293">
        <f t="shared" si="5"/>
        <v>22.727272727272723</v>
      </c>
      <c r="J44" s="291">
        <f>($C44+$E44)*G44</f>
        <v>840000</v>
      </c>
      <c r="K44" s="293">
        <f t="shared" si="4"/>
        <v>26.515151515151516</v>
      </c>
    </row>
    <row r="45" spans="1:12" s="262" customFormat="1" ht="21.3" thickBot="1" x14ac:dyDescent="0.4">
      <c r="A45" s="272" t="s">
        <v>180</v>
      </c>
      <c r="B45" s="295">
        <f>0.6*B41</f>
        <v>84</v>
      </c>
      <c r="C45" s="280">
        <f>C46+C47</f>
        <v>3360000</v>
      </c>
      <c r="D45" s="413">
        <f>C45/C39</f>
        <v>84</v>
      </c>
      <c r="E45" s="422">
        <f>E46+E47</f>
        <v>20000</v>
      </c>
      <c r="F45" s="419">
        <f>(H45/C45)</f>
        <v>0.80535714285714288</v>
      </c>
      <c r="G45" s="282">
        <f>J45/C45</f>
        <v>0.2005952380952381</v>
      </c>
      <c r="H45" s="291">
        <f>H46+H47</f>
        <v>2706000</v>
      </c>
      <c r="I45" s="293">
        <f t="shared" si="5"/>
        <v>219.64285714285711</v>
      </c>
      <c r="J45" s="291">
        <f>J46+J47</f>
        <v>674000</v>
      </c>
      <c r="K45" s="293">
        <f t="shared" si="4"/>
        <v>21.275252525252526</v>
      </c>
    </row>
    <row r="46" spans="1:12" s="262" customFormat="1" thickBot="1" x14ac:dyDescent="0.3">
      <c r="A46" s="273" t="s">
        <v>181</v>
      </c>
      <c r="C46" s="283">
        <f>D46*C39</f>
        <v>2800000</v>
      </c>
      <c r="D46" s="412">
        <f>5/6*B45</f>
        <v>70</v>
      </c>
      <c r="E46" s="422">
        <f>E36*E39</f>
        <v>20000</v>
      </c>
      <c r="F46" s="420">
        <v>0.9</v>
      </c>
      <c r="G46" s="282">
        <f>100%-F46</f>
        <v>9.9999999999999978E-2</v>
      </c>
      <c r="H46" s="291">
        <f>($C46+$E46)*F46</f>
        <v>2538000</v>
      </c>
      <c r="I46" s="293">
        <f t="shared" si="5"/>
        <v>206.00649350649348</v>
      </c>
      <c r="J46" s="291">
        <f>($C46+$E46)*G46</f>
        <v>281999.99999999994</v>
      </c>
      <c r="K46" s="293">
        <f t="shared" si="4"/>
        <v>8.9015151515151505</v>
      </c>
    </row>
    <row r="47" spans="1:12" s="262" customFormat="1" thickBot="1" x14ac:dyDescent="0.3">
      <c r="A47" s="272" t="s">
        <v>182</v>
      </c>
      <c r="C47" s="283">
        <f>D47*C39</f>
        <v>560000</v>
      </c>
      <c r="D47" s="412">
        <f>1/6*B45</f>
        <v>14</v>
      </c>
      <c r="E47" s="422">
        <v>0</v>
      </c>
      <c r="F47" s="420">
        <v>0.3</v>
      </c>
      <c r="G47" s="282">
        <f>100%-F47</f>
        <v>0.7</v>
      </c>
      <c r="H47" s="291">
        <f>($C47+$E47)*F47</f>
        <v>168000</v>
      </c>
      <c r="I47" s="293">
        <f t="shared" si="5"/>
        <v>13.636363636363635</v>
      </c>
      <c r="J47" s="291">
        <f>($C47+$E47)*G47</f>
        <v>392000</v>
      </c>
      <c r="K47" s="293">
        <f t="shared" si="4"/>
        <v>12.373737373737374</v>
      </c>
    </row>
    <row r="48" spans="1:12" s="262" customFormat="1" ht="21.3" thickBot="1" x14ac:dyDescent="0.4">
      <c r="A48" s="273" t="s">
        <v>183</v>
      </c>
      <c r="B48" s="295">
        <v>6.7</v>
      </c>
      <c r="C48" s="280">
        <f>C49+C52</f>
        <v>268000</v>
      </c>
      <c r="D48" s="415">
        <f>C48/C39</f>
        <v>6.7</v>
      </c>
      <c r="E48" s="422">
        <v>0</v>
      </c>
      <c r="F48" s="419">
        <f>(H48/C48)</f>
        <v>0.40894603048586858</v>
      </c>
      <c r="G48" s="282">
        <f>J48/C48</f>
        <v>0.59105396951413136</v>
      </c>
      <c r="H48" s="291">
        <f>H49+H52</f>
        <v>109597.53617021278</v>
      </c>
      <c r="I48" s="293">
        <f t="shared" si="5"/>
        <v>8.895903909919868</v>
      </c>
      <c r="J48" s="291">
        <f>J49+J52</f>
        <v>158402.46382978722</v>
      </c>
      <c r="K48" s="293">
        <f t="shared" si="4"/>
        <v>5.0000777724048993</v>
      </c>
    </row>
    <row r="49" spans="1:11" s="262" customFormat="1" thickBot="1" x14ac:dyDescent="0.3">
      <c r="A49" s="272" t="s">
        <v>184</v>
      </c>
      <c r="B49" s="265">
        <f>D51/0.94</f>
        <v>3.9361702127659579</v>
      </c>
      <c r="C49" s="280">
        <f>C50+C51</f>
        <v>157446.80851063831</v>
      </c>
      <c r="D49" s="416">
        <f>C49/C39</f>
        <v>3.9361702127659579</v>
      </c>
      <c r="E49" s="422">
        <v>0</v>
      </c>
      <c r="F49" s="419">
        <f>(H49/C49)</f>
        <v>0.27557325581395359</v>
      </c>
      <c r="G49" s="282">
        <f>J49/C49</f>
        <v>0.72442674418604636</v>
      </c>
      <c r="H49" s="291">
        <f>H50+H51</f>
        <v>43388.129638792692</v>
      </c>
      <c r="I49" s="293">
        <f t="shared" si="5"/>
        <v>3.521763769382523</v>
      </c>
      <c r="J49" s="291">
        <f>J50+J51</f>
        <v>114058.67887184561</v>
      </c>
      <c r="K49" s="293">
        <f t="shared" si="4"/>
        <v>3.6003370856011871</v>
      </c>
    </row>
    <row r="50" spans="1:11" s="262" customFormat="1" thickBot="1" x14ac:dyDescent="0.3">
      <c r="A50" s="273" t="s">
        <v>185</v>
      </c>
      <c r="C50" s="280">
        <f>D50*C39</f>
        <v>9446.8085106383096</v>
      </c>
      <c r="D50" s="416">
        <f>B49-D51</f>
        <v>0.23617021276595773</v>
      </c>
      <c r="E50" s="422">
        <v>0</v>
      </c>
      <c r="F50" s="420">
        <v>0.75</v>
      </c>
      <c r="G50" s="282">
        <f>100%-F50</f>
        <v>0.25</v>
      </c>
      <c r="H50" s="291">
        <f>C50*F50</f>
        <v>7085.1063829787327</v>
      </c>
      <c r="I50" s="293">
        <f t="shared" si="5"/>
        <v>0.57508980381320873</v>
      </c>
      <c r="J50" s="291">
        <f>C50*G50</f>
        <v>2361.7021276595774</v>
      </c>
      <c r="K50" s="293">
        <f t="shared" si="4"/>
        <v>7.4548678272082614E-2</v>
      </c>
    </row>
    <row r="51" spans="1:11" s="262" customFormat="1" ht="21.3" thickBot="1" x14ac:dyDescent="0.4">
      <c r="A51" s="272" t="s">
        <v>186</v>
      </c>
      <c r="B51" s="295">
        <v>3.7</v>
      </c>
      <c r="C51" s="283">
        <f>D51*C39</f>
        <v>148000</v>
      </c>
      <c r="D51" s="415">
        <f>B51</f>
        <v>3.7</v>
      </c>
      <c r="E51" s="422">
        <v>0</v>
      </c>
      <c r="F51" s="420">
        <f>$F$40</f>
        <v>0.24529069767441866</v>
      </c>
      <c r="G51" s="282">
        <f>100%-F51</f>
        <v>0.75470930232558131</v>
      </c>
      <c r="H51" s="291">
        <f>C51*F51</f>
        <v>36303.023255813961</v>
      </c>
      <c r="I51" s="293">
        <f t="shared" si="5"/>
        <v>2.9466739655693148</v>
      </c>
      <c r="J51" s="291">
        <f>C51*G51</f>
        <v>111696.97674418603</v>
      </c>
      <c r="K51" s="293">
        <f t="shared" si="4"/>
        <v>3.5257884073291046</v>
      </c>
    </row>
    <row r="52" spans="1:11" s="262" customFormat="1" thickBot="1" x14ac:dyDescent="0.3">
      <c r="A52" s="273" t="s">
        <v>187</v>
      </c>
      <c r="B52" s="265">
        <f>B48-B49</f>
        <v>2.7638297872340423</v>
      </c>
      <c r="C52" s="280">
        <f>C53+C54</f>
        <v>110553.19148936169</v>
      </c>
      <c r="D52" s="416">
        <f>C52/C39</f>
        <v>2.7638297872340423</v>
      </c>
      <c r="E52" s="422">
        <v>0</v>
      </c>
      <c r="F52" s="419">
        <f>(H52/C52)</f>
        <v>0.59889186046511644</v>
      </c>
      <c r="G52" s="282">
        <f>J52/C52</f>
        <v>0.40110813953488361</v>
      </c>
      <c r="H52" s="291">
        <f>H53+H54</f>
        <v>66209.4065314201</v>
      </c>
      <c r="I52" s="293">
        <f t="shared" si="5"/>
        <v>5.374140140537345</v>
      </c>
      <c r="J52" s="291">
        <f>J53+J54</f>
        <v>44343.7849579416</v>
      </c>
      <c r="K52" s="293">
        <f t="shared" si="4"/>
        <v>1.3997406868037121</v>
      </c>
    </row>
    <row r="53" spans="1:11" s="262" customFormat="1" thickBot="1" x14ac:dyDescent="0.3">
      <c r="A53" s="272" t="s">
        <v>188</v>
      </c>
      <c r="C53" s="283">
        <f>D53*C39</f>
        <v>37588.085106382976</v>
      </c>
      <c r="D53" s="417">
        <f>0.34*B52</f>
        <v>0.93970212765957439</v>
      </c>
      <c r="E53" s="422">
        <v>0</v>
      </c>
      <c r="F53" s="420">
        <v>0.8</v>
      </c>
      <c r="G53" s="282">
        <f>100%-F53</f>
        <v>0.19999999999999996</v>
      </c>
      <c r="H53" s="291">
        <f>C53*F53</f>
        <v>30070.468085106382</v>
      </c>
      <c r="I53" s="293">
        <f t="shared" si="5"/>
        <v>2.4407847471677253</v>
      </c>
      <c r="J53" s="291">
        <f>C53*G53</f>
        <v>7517.6170212765937</v>
      </c>
      <c r="K53" s="293">
        <f t="shared" si="4"/>
        <v>0.23729851708575106</v>
      </c>
    </row>
    <row r="54" spans="1:11" s="262" customFormat="1" thickBot="1" x14ac:dyDescent="0.3">
      <c r="A54" s="273" t="s">
        <v>189</v>
      </c>
      <c r="C54" s="283">
        <f>D54*C39</f>
        <v>72965.106382978716</v>
      </c>
      <c r="D54" s="417">
        <f>0.66*B52</f>
        <v>1.824127659574468</v>
      </c>
      <c r="E54" s="422">
        <v>0</v>
      </c>
      <c r="F54" s="420">
        <f>$F$40+25%</f>
        <v>0.49529069767441869</v>
      </c>
      <c r="G54" s="282">
        <f>100%-F54</f>
        <v>0.50470930232558131</v>
      </c>
      <c r="H54" s="291">
        <f>C54*F54</f>
        <v>36138.93844631371</v>
      </c>
      <c r="I54" s="293">
        <f t="shared" si="5"/>
        <v>2.9333553933696188</v>
      </c>
      <c r="J54" s="291">
        <f>C54*G54</f>
        <v>36826.167936665006</v>
      </c>
      <c r="K54" s="293">
        <f t="shared" si="4"/>
        <v>1.162442169717961</v>
      </c>
    </row>
    <row r="55" spans="1:11" s="262" customFormat="1" ht="21.3" thickBot="1" x14ac:dyDescent="0.4">
      <c r="A55" s="272" t="s">
        <v>190</v>
      </c>
      <c r="B55" s="295">
        <v>1.8</v>
      </c>
      <c r="C55" s="280">
        <f>C56+C59</f>
        <v>72000</v>
      </c>
      <c r="D55" s="415">
        <f>C55/C39</f>
        <v>1.8</v>
      </c>
      <c r="E55" s="422">
        <v>0</v>
      </c>
      <c r="F55" s="419">
        <f>(H55/C55)</f>
        <v>0.79408624031007746</v>
      </c>
      <c r="G55" s="282">
        <f>J55/C55</f>
        <v>0.20591375968992245</v>
      </c>
      <c r="H55" s="291">
        <f>H56+H59</f>
        <v>57174.20930232558</v>
      </c>
      <c r="I55" s="293">
        <f t="shared" si="5"/>
        <v>4.640763742071881</v>
      </c>
      <c r="J55" s="291">
        <f>J56+J59</f>
        <v>14825.790697674416</v>
      </c>
      <c r="K55" s="293">
        <f t="shared" si="4"/>
        <v>0.46798581747709644</v>
      </c>
    </row>
    <row r="56" spans="1:11" s="262" customFormat="1" thickBot="1" x14ac:dyDescent="0.3">
      <c r="A56" s="273" t="s">
        <v>191</v>
      </c>
      <c r="C56" s="280">
        <f>C57+C58</f>
        <v>3600.0000000000005</v>
      </c>
      <c r="D56" s="416">
        <f>C56/C39</f>
        <v>9.0000000000000011E-2</v>
      </c>
      <c r="E56" s="422">
        <v>0</v>
      </c>
      <c r="F56" s="419">
        <f>(H56/C56)</f>
        <v>0.65905813953488379</v>
      </c>
      <c r="G56" s="282">
        <f>J56/C56</f>
        <v>0.34094186046511626</v>
      </c>
      <c r="H56" s="291">
        <f>H57+H58</f>
        <v>2372.6093023255821</v>
      </c>
      <c r="I56" s="293">
        <f t="shared" si="5"/>
        <v>0.19258192389006346</v>
      </c>
      <c r="J56" s="291">
        <f>J57+J58</f>
        <v>1227.3906976744188</v>
      </c>
      <c r="K56" s="293">
        <f t="shared" si="4"/>
        <v>3.874339323467231E-2</v>
      </c>
    </row>
    <row r="57" spans="1:11" s="262" customFormat="1" thickBot="1" x14ac:dyDescent="0.3">
      <c r="A57" s="272" t="s">
        <v>192</v>
      </c>
      <c r="B57" s="100"/>
      <c r="C57" s="280">
        <f>D57*C39</f>
        <v>2880.0000000000005</v>
      </c>
      <c r="D57" s="416">
        <f>0.04*B55</f>
        <v>7.2000000000000008E-2</v>
      </c>
      <c r="E57" s="422">
        <v>0</v>
      </c>
      <c r="F57" s="420">
        <v>0.75</v>
      </c>
      <c r="G57" s="282">
        <f>100%-F57</f>
        <v>0.25</v>
      </c>
      <c r="H57" s="291">
        <f>C57*F57</f>
        <v>2160.0000000000005</v>
      </c>
      <c r="I57" s="293">
        <f t="shared" si="5"/>
        <v>0.17532467532467533</v>
      </c>
      <c r="J57" s="291">
        <f>C57*G57</f>
        <v>720.00000000000011</v>
      </c>
      <c r="K57" s="293">
        <f t="shared" si="4"/>
        <v>2.2727272727272731E-2</v>
      </c>
    </row>
    <row r="58" spans="1:11" s="262" customFormat="1" thickBot="1" x14ac:dyDescent="0.3">
      <c r="A58" s="273" t="s">
        <v>193</v>
      </c>
      <c r="B58" s="266">
        <v>5.8999999999999997E-2</v>
      </c>
      <c r="C58" s="283">
        <f>D58*C39</f>
        <v>720.00000000000011</v>
      </c>
      <c r="D58" s="417">
        <f>0.01*B55</f>
        <v>1.8000000000000002E-2</v>
      </c>
      <c r="E58" s="422">
        <v>0</v>
      </c>
      <c r="F58" s="420">
        <f>$F$40+5%</f>
        <v>0.29529069767441868</v>
      </c>
      <c r="G58" s="282">
        <f>100%-F58</f>
        <v>0.70470930232558127</v>
      </c>
      <c r="H58" s="291">
        <f>C58*F58</f>
        <v>212.6093023255815</v>
      </c>
      <c r="I58" s="294">
        <f t="shared" si="5"/>
        <v>1.7257248565388107E-2</v>
      </c>
      <c r="J58" s="291">
        <f>C58*G58</f>
        <v>507.39069767441862</v>
      </c>
      <c r="K58" s="293">
        <f t="shared" si="4"/>
        <v>1.6016120507399579E-2</v>
      </c>
    </row>
    <row r="59" spans="1:11" s="262" customFormat="1" thickBot="1" x14ac:dyDescent="0.3">
      <c r="A59" s="272" t="s">
        <v>194</v>
      </c>
      <c r="B59" s="100"/>
      <c r="C59" s="280">
        <f>C60+C61</f>
        <v>68400</v>
      </c>
      <c r="D59" s="416">
        <f>C59/C39</f>
        <v>1.71</v>
      </c>
      <c r="E59" s="422">
        <v>0</v>
      </c>
      <c r="F59" s="419">
        <f>(H59/C59)</f>
        <v>0.80119298245614035</v>
      </c>
      <c r="G59" s="282">
        <f>J59/C59</f>
        <v>0.19880701754385963</v>
      </c>
      <c r="H59" s="291">
        <f>H60+H61</f>
        <v>54801.599999999999</v>
      </c>
      <c r="I59" s="293">
        <f t="shared" si="5"/>
        <v>4.4481818181818173</v>
      </c>
      <c r="J59" s="291">
        <f>J60+J61</f>
        <v>13598.399999999998</v>
      </c>
      <c r="K59" s="293">
        <f t="shared" si="4"/>
        <v>0.42924242424242415</v>
      </c>
    </row>
    <row r="60" spans="1:11" s="262" customFormat="1" thickBot="1" x14ac:dyDescent="0.3">
      <c r="A60" s="273" t="s">
        <v>195</v>
      </c>
      <c r="B60" s="100"/>
      <c r="C60" s="283">
        <f>D60*C39</f>
        <v>51120</v>
      </c>
      <c r="D60" s="417">
        <f>0.71*B55</f>
        <v>1.278</v>
      </c>
      <c r="E60" s="422">
        <v>0</v>
      </c>
      <c r="F60" s="420">
        <v>0.9</v>
      </c>
      <c r="G60" s="282">
        <f>100%-F60</f>
        <v>9.9999999999999978E-2</v>
      </c>
      <c r="H60" s="291">
        <f>C60*F60</f>
        <v>46008</v>
      </c>
      <c r="I60" s="293">
        <f t="shared" si="5"/>
        <v>3.7344155844155837</v>
      </c>
      <c r="J60" s="291">
        <f>C60*G60</f>
        <v>5111.9999999999991</v>
      </c>
      <c r="K60" s="293">
        <f t="shared" si="4"/>
        <v>0.16136363636363635</v>
      </c>
    </row>
    <row r="61" spans="1:11" s="262" customFormat="1" thickBot="1" x14ac:dyDescent="0.3">
      <c r="A61" s="272" t="s">
        <v>196</v>
      </c>
      <c r="B61" s="100"/>
      <c r="C61" s="283">
        <f>D61*C39</f>
        <v>17280</v>
      </c>
      <c r="D61" s="417">
        <f>0.24*B55</f>
        <v>0.432</v>
      </c>
      <c r="E61" s="422">
        <v>0</v>
      </c>
      <c r="F61" s="420">
        <f>$F$5+25%</f>
        <v>0.50888888888888895</v>
      </c>
      <c r="G61" s="282">
        <f>100%-F61</f>
        <v>0.49111111111111105</v>
      </c>
      <c r="H61" s="291">
        <f>C61*F61</f>
        <v>8793.6</v>
      </c>
      <c r="I61" s="293">
        <f t="shared" si="5"/>
        <v>0.71376623376623372</v>
      </c>
      <c r="J61" s="291">
        <f>C61*G61</f>
        <v>8486.4</v>
      </c>
      <c r="K61" s="293">
        <f t="shared" si="4"/>
        <v>0.26787878787878788</v>
      </c>
    </row>
    <row r="62" spans="1:11" s="262" customFormat="1" ht="21.3" thickBot="1" x14ac:dyDescent="0.4">
      <c r="A62" s="273" t="s">
        <v>197</v>
      </c>
      <c r="B62" s="295">
        <f>6.2*0.83</f>
        <v>5.1459999999999999</v>
      </c>
      <c r="C62" s="280">
        <f>C63</f>
        <v>205840</v>
      </c>
      <c r="D62" s="415">
        <f>C62/C39</f>
        <v>5.1459999999999999</v>
      </c>
      <c r="E62" s="422">
        <v>0</v>
      </c>
      <c r="F62" s="419">
        <f>(H62/C62)</f>
        <v>0.25995000000000001</v>
      </c>
      <c r="G62" s="282">
        <f>J62/C62</f>
        <v>0.74004999999999999</v>
      </c>
      <c r="H62" s="291">
        <f>H63</f>
        <v>53508.108000000007</v>
      </c>
      <c r="I62" s="293">
        <f t="shared" si="5"/>
        <v>4.3431905844155843</v>
      </c>
      <c r="J62" s="291">
        <f>J63</f>
        <v>152331.89199999999</v>
      </c>
      <c r="K62" s="293">
        <f t="shared" si="4"/>
        <v>4.8084561868686864</v>
      </c>
    </row>
    <row r="63" spans="1:11" s="262" customFormat="1" thickBot="1" x14ac:dyDescent="0.3">
      <c r="A63" s="272" t="s">
        <v>198</v>
      </c>
      <c r="C63" s="280">
        <f>C64+C65</f>
        <v>205840</v>
      </c>
      <c r="D63" s="416">
        <f>C63/C39</f>
        <v>5.1459999999999999</v>
      </c>
      <c r="E63" s="422">
        <v>0</v>
      </c>
      <c r="F63" s="419">
        <f>(H63/C63)</f>
        <v>0.25995000000000001</v>
      </c>
      <c r="G63" s="282">
        <f>J63/C63</f>
        <v>0.74004999999999999</v>
      </c>
      <c r="H63" s="291">
        <f>H64+H65</f>
        <v>53508.108000000007</v>
      </c>
      <c r="I63" s="293">
        <f t="shared" si="5"/>
        <v>4.3431905844155843</v>
      </c>
      <c r="J63" s="291">
        <f>J64+J65</f>
        <v>152331.89199999999</v>
      </c>
      <c r="K63" s="293">
        <f t="shared" si="4"/>
        <v>4.8084561868686864</v>
      </c>
    </row>
    <row r="64" spans="1:11" s="262" customFormat="1" thickBot="1" x14ac:dyDescent="0.3">
      <c r="A64" s="273" t="s">
        <v>199</v>
      </c>
      <c r="B64" s="100"/>
      <c r="C64" s="280">
        <f>D64*C39</f>
        <v>28817.600000000002</v>
      </c>
      <c r="D64" s="416">
        <f>0.14*B62</f>
        <v>0.72044000000000008</v>
      </c>
      <c r="E64" s="422">
        <v>0</v>
      </c>
      <c r="F64" s="420">
        <v>0.35</v>
      </c>
      <c r="G64" s="282">
        <f>100%-F64</f>
        <v>0.65</v>
      </c>
      <c r="H64" s="291">
        <f>C64*F64</f>
        <v>10086.16</v>
      </c>
      <c r="I64" s="293">
        <f t="shared" si="5"/>
        <v>0.81868181818181807</v>
      </c>
      <c r="J64" s="291">
        <f>C64*G64</f>
        <v>18731.440000000002</v>
      </c>
      <c r="K64" s="293">
        <f t="shared" si="4"/>
        <v>0.59127020202020208</v>
      </c>
    </row>
    <row r="65" spans="1:12" s="262" customFormat="1" thickBot="1" x14ac:dyDescent="0.3">
      <c r="A65" s="272" t="s">
        <v>200</v>
      </c>
      <c r="B65" s="100"/>
      <c r="C65" s="283">
        <f>D65*C39</f>
        <v>177022.4</v>
      </c>
      <c r="D65" s="417">
        <f>0.86*B62</f>
        <v>4.4255599999999999</v>
      </c>
      <c r="E65" s="423">
        <v>0</v>
      </c>
      <c r="F65" s="420">
        <f>$F$40</f>
        <v>0.24529069767441866</v>
      </c>
      <c r="G65" s="282">
        <f>100%-F65</f>
        <v>0.75470930232558131</v>
      </c>
      <c r="H65" s="291">
        <f>C65*F65</f>
        <v>43421.948000000011</v>
      </c>
      <c r="I65" s="293">
        <f t="shared" si="5"/>
        <v>3.5245087662337666</v>
      </c>
      <c r="J65" s="291">
        <f>C65*G65</f>
        <v>133600.45199999999</v>
      </c>
      <c r="K65" s="293">
        <f t="shared" si="4"/>
        <v>4.2171859848484843</v>
      </c>
    </row>
    <row r="66" spans="1:12" x14ac:dyDescent="0.3">
      <c r="A66" s="262"/>
      <c r="B66" s="105"/>
      <c r="C66" s="285"/>
      <c r="D66" s="285"/>
      <c r="E66" s="95"/>
      <c r="F66" s="314"/>
      <c r="G66" s="286"/>
      <c r="H66" s="95"/>
      <c r="I66" s="95"/>
      <c r="J66" s="95"/>
      <c r="K66" s="95"/>
      <c r="L66" s="262"/>
    </row>
    <row r="67" spans="1:12" s="304" customFormat="1" ht="18.2" thickBot="1" x14ac:dyDescent="0.35">
      <c r="C67" s="311"/>
      <c r="D67" s="311"/>
      <c r="E67" s="312"/>
      <c r="F67" s="315"/>
      <c r="G67" s="313"/>
      <c r="H67" s="312"/>
      <c r="I67" s="312"/>
      <c r="J67" s="312"/>
      <c r="K67" s="312"/>
    </row>
    <row r="68" spans="1:12" ht="18.2" x14ac:dyDescent="0.35">
      <c r="A68" s="262"/>
      <c r="B68" s="262"/>
      <c r="C68" s="285"/>
      <c r="D68" s="285"/>
      <c r="E68" s="95"/>
      <c r="F68" s="95"/>
      <c r="G68" s="95"/>
      <c r="H68" s="95"/>
      <c r="I68" s="267"/>
      <c r="J68" s="95"/>
      <c r="K68" s="267"/>
      <c r="L68" s="262"/>
    </row>
    <row r="69" spans="1:12" s="262" customFormat="1" ht="18.8" thickBot="1" x14ac:dyDescent="0.4">
      <c r="A69" s="274"/>
      <c r="C69" s="275"/>
      <c r="D69" s="278"/>
      <c r="E69" s="278"/>
      <c r="F69" s="278"/>
      <c r="G69" s="278"/>
      <c r="H69" s="95"/>
      <c r="I69" s="267"/>
      <c r="J69" s="95"/>
      <c r="K69" s="267"/>
    </row>
    <row r="70" spans="1:12" s="262" customFormat="1" ht="18.2" x14ac:dyDescent="0.35">
      <c r="A70" s="274"/>
      <c r="C70" s="275"/>
      <c r="D70" s="275"/>
      <c r="E70" s="494" t="str">
        <f>CONCATENATE(E71,"% FeCl3 solution")</f>
        <v>40% FeCl3 solution</v>
      </c>
      <c r="F70" s="495"/>
      <c r="I70" s="267"/>
      <c r="J70" s="95"/>
      <c r="K70" s="267"/>
    </row>
    <row r="71" spans="1:12" s="262" customFormat="1" ht="18.2" x14ac:dyDescent="0.35">
      <c r="A71" s="274"/>
      <c r="C71" s="275"/>
      <c r="D71" s="275"/>
      <c r="E71" s="305">
        <v>40</v>
      </c>
      <c r="F71" s="308" t="s">
        <v>14</v>
      </c>
      <c r="H71" s="95"/>
      <c r="I71" s="95"/>
      <c r="J71" s="95"/>
      <c r="K71" s="95"/>
    </row>
    <row r="72" spans="1:12" x14ac:dyDescent="0.3">
      <c r="B72" s="262"/>
      <c r="C72" s="275"/>
      <c r="D72" s="275"/>
      <c r="E72" s="307">
        <f>E71*10</f>
        <v>400</v>
      </c>
      <c r="F72" s="306" t="s">
        <v>367</v>
      </c>
      <c r="G72" s="262"/>
      <c r="H72" s="95"/>
      <c r="I72" s="95"/>
      <c r="J72" s="95"/>
      <c r="K72" s="95"/>
      <c r="L72" s="262"/>
    </row>
    <row r="73" spans="1:12" ht="18.2" x14ac:dyDescent="0.35">
      <c r="B73" s="96"/>
      <c r="C73" s="275"/>
      <c r="D73" s="275"/>
      <c r="E73" s="305">
        <v>1.4379999999999999</v>
      </c>
      <c r="F73" s="306" t="s">
        <v>201</v>
      </c>
      <c r="G73" s="262"/>
      <c r="H73" s="95"/>
      <c r="I73" s="96"/>
      <c r="J73" s="96"/>
      <c r="K73" s="96"/>
      <c r="L73" s="262"/>
    </row>
    <row r="74" spans="1:12" ht="18.8" thickBot="1" x14ac:dyDescent="0.4">
      <c r="B74" s="262"/>
      <c r="C74" s="276"/>
      <c r="D74" s="276"/>
      <c r="E74" s="305">
        <v>11</v>
      </c>
      <c r="F74" s="310" t="str">
        <f>CONCATENATE("L ",E70,"/ton input")</f>
        <v>L 40% FeCl3 solution/ton input</v>
      </c>
      <c r="G74" s="262"/>
      <c r="H74" s="95"/>
      <c r="I74" s="95"/>
      <c r="J74" s="95"/>
      <c r="K74" s="95"/>
      <c r="L74" s="262"/>
    </row>
    <row r="75" spans="1:12" s="262" customFormat="1" ht="21.3" thickBot="1" x14ac:dyDescent="0.4">
      <c r="A75" s="272" t="s">
        <v>361</v>
      </c>
      <c r="B75" s="295">
        <v>40000</v>
      </c>
      <c r="C75" s="303">
        <f>B75</f>
        <v>40000</v>
      </c>
      <c r="D75" s="411"/>
      <c r="E75" s="421">
        <f>(E74*E73/1000)*C75</f>
        <v>632.71999999999991</v>
      </c>
      <c r="F75" s="418">
        <v>0.3</v>
      </c>
      <c r="G75" s="282">
        <f>100%-F75</f>
        <v>0.7</v>
      </c>
      <c r="H75" s="291">
        <f>($C75+$E75)*F75</f>
        <v>12189.816000000001</v>
      </c>
      <c r="I75" s="292"/>
      <c r="J75" s="291">
        <f>($C75+$E75)*G75</f>
        <v>28442.903999999999</v>
      </c>
      <c r="K75" s="292"/>
    </row>
    <row r="76" spans="1:12" s="262" customFormat="1" thickBot="1" x14ac:dyDescent="0.3">
      <c r="A76" s="273" t="s">
        <v>175</v>
      </c>
      <c r="C76" s="302">
        <f>(C75*1000)-C77</f>
        <v>36000000</v>
      </c>
      <c r="D76" s="412">
        <f>C76/C75</f>
        <v>900</v>
      </c>
      <c r="E76" s="422">
        <f>(E75*1000)-E77</f>
        <v>456719.99999999988</v>
      </c>
      <c r="F76" s="419">
        <f>(H76/C76)</f>
        <v>0.26318377777777779</v>
      </c>
      <c r="G76" s="282">
        <f>100%-F76</f>
        <v>0.73681622222222221</v>
      </c>
      <c r="H76" s="291">
        <f>(H75*1000)-H77</f>
        <v>9474616</v>
      </c>
      <c r="I76" s="293">
        <f t="shared" ref="I76:I101" si="7">H76/$H$75</f>
        <v>777.25668705745841</v>
      </c>
      <c r="J76" s="291">
        <f>(J75*1000)-J77</f>
        <v>26982104</v>
      </c>
      <c r="K76" s="293">
        <f t="shared" ref="K76:K101" si="8">J76/$J$75</f>
        <v>948.64096858745506</v>
      </c>
    </row>
    <row r="77" spans="1:12" s="262" customFormat="1" ht="21.3" thickBot="1" x14ac:dyDescent="0.4">
      <c r="A77" s="272" t="s">
        <v>176</v>
      </c>
      <c r="B77" s="295">
        <v>100</v>
      </c>
      <c r="C77" s="303">
        <f>C78+C81</f>
        <v>4000000</v>
      </c>
      <c r="D77" s="413">
        <f>C77/C75</f>
        <v>100</v>
      </c>
      <c r="E77" s="422">
        <f>E78+E81</f>
        <v>175999.99999999997</v>
      </c>
      <c r="F77" s="419">
        <f>(H77/C77)</f>
        <v>0.67879999999999996</v>
      </c>
      <c r="G77" s="282">
        <f>J77/C77</f>
        <v>0.36520000000000002</v>
      </c>
      <c r="H77" s="291">
        <f>H78+H81</f>
        <v>2715200</v>
      </c>
      <c r="I77" s="293">
        <f t="shared" si="7"/>
        <v>222.74331294254154</v>
      </c>
      <c r="J77" s="291">
        <f>J78+J81</f>
        <v>1460800</v>
      </c>
      <c r="K77" s="293">
        <f t="shared" si="8"/>
        <v>51.359031412544937</v>
      </c>
    </row>
    <row r="78" spans="1:12" s="262" customFormat="1" thickBot="1" x14ac:dyDescent="0.3">
      <c r="A78" s="273" t="s">
        <v>177</v>
      </c>
      <c r="B78" s="265">
        <f>B77-B81</f>
        <v>40</v>
      </c>
      <c r="C78" s="303">
        <f>C79+C80</f>
        <v>1600000</v>
      </c>
      <c r="D78" s="414">
        <f>C78/C75</f>
        <v>40</v>
      </c>
      <c r="E78" s="422">
        <f>E79+E80</f>
        <v>175999.99999999997</v>
      </c>
      <c r="F78" s="419">
        <f>(H78/C78)</f>
        <v>0.52200000000000002</v>
      </c>
      <c r="G78" s="282">
        <f>J78/C78</f>
        <v>0.58799999999999997</v>
      </c>
      <c r="H78" s="291">
        <f>H79+H80</f>
        <v>835200</v>
      </c>
      <c r="I78" s="293">
        <f t="shared" si="7"/>
        <v>68.51621058102927</v>
      </c>
      <c r="J78" s="291">
        <f>J79+J80</f>
        <v>940800</v>
      </c>
      <c r="K78" s="293">
        <f t="shared" si="8"/>
        <v>33.076791314979651</v>
      </c>
    </row>
    <row r="79" spans="1:12" s="262" customFormat="1" thickBot="1" x14ac:dyDescent="0.3">
      <c r="A79" s="272" t="s">
        <v>178</v>
      </c>
      <c r="C79" s="302">
        <f>D79*C75</f>
        <v>800000</v>
      </c>
      <c r="D79" s="412">
        <f>1/2*B78</f>
        <v>20</v>
      </c>
      <c r="E79" s="422">
        <v>0</v>
      </c>
      <c r="F79" s="420">
        <v>0.8</v>
      </c>
      <c r="G79" s="282">
        <f t="shared" ref="G79:G80" si="9">100%-F79</f>
        <v>0.19999999999999996</v>
      </c>
      <c r="H79" s="291">
        <f>($C79+$E79)*F79</f>
        <v>640000</v>
      </c>
      <c r="I79" s="293">
        <f t="shared" si="7"/>
        <v>52.502843357110557</v>
      </c>
      <c r="J79" s="291">
        <f>($C79+$E79)*G79</f>
        <v>159999.99999999997</v>
      </c>
      <c r="K79" s="293">
        <f t="shared" si="8"/>
        <v>5.625304645404702</v>
      </c>
    </row>
    <row r="80" spans="1:12" s="262" customFormat="1" thickBot="1" x14ac:dyDescent="0.3">
      <c r="A80" s="273" t="s">
        <v>179</v>
      </c>
      <c r="C80" s="302">
        <f>D80*C75</f>
        <v>800000</v>
      </c>
      <c r="D80" s="412">
        <f>1/2*B78</f>
        <v>20</v>
      </c>
      <c r="E80" s="422">
        <f>E72*(E75/E73)</f>
        <v>175999.99999999997</v>
      </c>
      <c r="F80" s="420">
        <v>0.2</v>
      </c>
      <c r="G80" s="282">
        <f t="shared" si="9"/>
        <v>0.8</v>
      </c>
      <c r="H80" s="291">
        <f>($C80+$E80)*F80</f>
        <v>195200</v>
      </c>
      <c r="I80" s="293">
        <f t="shared" si="7"/>
        <v>16.013367223918721</v>
      </c>
      <c r="J80" s="291">
        <f>($C80+$E80)*G80</f>
        <v>780800</v>
      </c>
      <c r="K80" s="293">
        <f t="shared" si="8"/>
        <v>27.451486669574951</v>
      </c>
    </row>
    <row r="81" spans="1:11" s="262" customFormat="1" ht="21.3" thickBot="1" x14ac:dyDescent="0.4">
      <c r="A81" s="272" t="s">
        <v>180</v>
      </c>
      <c r="B81" s="295">
        <f>0.6*B77</f>
        <v>60</v>
      </c>
      <c r="C81" s="303">
        <f>C82+C83</f>
        <v>2400000</v>
      </c>
      <c r="D81" s="413">
        <f>C81/C75</f>
        <v>60</v>
      </c>
      <c r="E81" s="422">
        <f>E82+E83</f>
        <v>0</v>
      </c>
      <c r="F81" s="419">
        <f>(H81/C81)</f>
        <v>0.78333333333333333</v>
      </c>
      <c r="G81" s="282">
        <f>J81/C81</f>
        <v>0.21666666666666665</v>
      </c>
      <c r="H81" s="291">
        <f>H82+H83</f>
        <v>1880000</v>
      </c>
      <c r="I81" s="293">
        <f t="shared" si="7"/>
        <v>154.22710236151227</v>
      </c>
      <c r="J81" s="291">
        <f>J82+J83</f>
        <v>519999.99999999994</v>
      </c>
      <c r="K81" s="293">
        <f t="shared" si="8"/>
        <v>18.282240097565282</v>
      </c>
    </row>
    <row r="82" spans="1:11" s="262" customFormat="1" thickBot="1" x14ac:dyDescent="0.3">
      <c r="A82" s="273" t="s">
        <v>181</v>
      </c>
      <c r="C82" s="302">
        <f>D82*C75</f>
        <v>2000000</v>
      </c>
      <c r="D82" s="412">
        <f>5/6*B81</f>
        <v>50</v>
      </c>
      <c r="E82" s="422">
        <v>0</v>
      </c>
      <c r="F82" s="420">
        <v>0.9</v>
      </c>
      <c r="G82" s="282">
        <f>100%-F82</f>
        <v>9.9999999999999978E-2</v>
      </c>
      <c r="H82" s="291">
        <f>($C82+$E82)*F82</f>
        <v>1800000</v>
      </c>
      <c r="I82" s="293">
        <f t="shared" si="7"/>
        <v>147.66424694187344</v>
      </c>
      <c r="J82" s="291">
        <f>($C82+$E82)*G82</f>
        <v>199999.99999999994</v>
      </c>
      <c r="K82" s="293">
        <f t="shared" si="8"/>
        <v>7.031630806755877</v>
      </c>
    </row>
    <row r="83" spans="1:11" s="262" customFormat="1" thickBot="1" x14ac:dyDescent="0.3">
      <c r="A83" s="272" t="s">
        <v>182</v>
      </c>
      <c r="C83" s="302">
        <f>D83*C75</f>
        <v>400000</v>
      </c>
      <c r="D83" s="412">
        <f>1/6*B81</f>
        <v>10</v>
      </c>
      <c r="E83" s="422">
        <v>0</v>
      </c>
      <c r="F83" s="420">
        <v>0.2</v>
      </c>
      <c r="G83" s="282">
        <f>100%-F83</f>
        <v>0.8</v>
      </c>
      <c r="H83" s="291">
        <f>($C83+$E83)*F83</f>
        <v>80000</v>
      </c>
      <c r="I83" s="293">
        <f t="shared" si="7"/>
        <v>6.5628554196388196</v>
      </c>
      <c r="J83" s="291">
        <f>($C83+$E83)*G83</f>
        <v>320000</v>
      </c>
      <c r="K83" s="293">
        <f t="shared" si="8"/>
        <v>11.250609290809406</v>
      </c>
    </row>
    <row r="84" spans="1:11" s="262" customFormat="1" ht="21.3" thickBot="1" x14ac:dyDescent="0.4">
      <c r="A84" s="273" t="s">
        <v>183</v>
      </c>
      <c r="B84" s="295">
        <v>6.7</v>
      </c>
      <c r="C84" s="303">
        <f>C85+C88</f>
        <v>268000</v>
      </c>
      <c r="D84" s="415">
        <f>C84/C75</f>
        <v>6.7</v>
      </c>
      <c r="E84" s="422">
        <v>0</v>
      </c>
      <c r="F84" s="419">
        <f>(H84/C84)</f>
        <v>0.33984648129423806</v>
      </c>
      <c r="G84" s="282">
        <f>J84/C84</f>
        <v>0.660153518705762</v>
      </c>
      <c r="H84" s="291">
        <f>H85+H88</f>
        <v>91078.856986855797</v>
      </c>
      <c r="I84" s="293">
        <f t="shared" si="7"/>
        <v>7.4717171273836938</v>
      </c>
      <c r="J84" s="291">
        <f>J85+J88</f>
        <v>176921.1430131442</v>
      </c>
      <c r="K84" s="293">
        <f t="shared" si="8"/>
        <v>6.2202207978884365</v>
      </c>
    </row>
    <row r="85" spans="1:11" s="262" customFormat="1" thickBot="1" x14ac:dyDescent="0.3">
      <c r="A85" s="272" t="s">
        <v>184</v>
      </c>
      <c r="B85" s="265">
        <f>D87/0.94</f>
        <v>3.9361702127659579</v>
      </c>
      <c r="C85" s="303">
        <f>C86+C87</f>
        <v>157446.80851063831</v>
      </c>
      <c r="D85" s="416">
        <f>C85/C75</f>
        <v>3.9361702127659579</v>
      </c>
      <c r="E85" s="422">
        <v>0</v>
      </c>
      <c r="F85" s="419">
        <f>(H85/C85)</f>
        <v>0.28939275111111112</v>
      </c>
      <c r="G85" s="282">
        <f>J85/C85</f>
        <v>0.71060724888888882</v>
      </c>
      <c r="H85" s="291">
        <f>H86+H87</f>
        <v>45563.965068557925</v>
      </c>
      <c r="I85" s="293">
        <f t="shared" si="7"/>
        <v>3.7378714386302403</v>
      </c>
      <c r="J85" s="291">
        <f>J86+J87</f>
        <v>111882.84344208038</v>
      </c>
      <c r="K85" s="293">
        <f t="shared" si="8"/>
        <v>3.9335942434738866</v>
      </c>
    </row>
    <row r="86" spans="1:11" s="262" customFormat="1" thickBot="1" x14ac:dyDescent="0.3">
      <c r="A86" s="273" t="s">
        <v>185</v>
      </c>
      <c r="C86" s="303">
        <f>D86*C75</f>
        <v>9446.8085106383096</v>
      </c>
      <c r="D86" s="416">
        <f>B85-D87</f>
        <v>0.23617021276595773</v>
      </c>
      <c r="E86" s="422">
        <v>0</v>
      </c>
      <c r="F86" s="420">
        <v>0.7</v>
      </c>
      <c r="G86" s="282">
        <f>100%-F86</f>
        <v>0.30000000000000004</v>
      </c>
      <c r="H86" s="291">
        <f>C86*F86</f>
        <v>6612.7659574468162</v>
      </c>
      <c r="I86" s="293">
        <f t="shared" si="7"/>
        <v>0.54248283628291161</v>
      </c>
      <c r="J86" s="291">
        <f>C86*G86</f>
        <v>2834.0425531914934</v>
      </c>
      <c r="K86" s="293">
        <f t="shared" si="8"/>
        <v>9.9639704623391959E-2</v>
      </c>
    </row>
    <row r="87" spans="1:11" s="262" customFormat="1" ht="21.3" thickBot="1" x14ac:dyDescent="0.4">
      <c r="A87" s="272" t="s">
        <v>186</v>
      </c>
      <c r="B87" s="295">
        <v>3.7</v>
      </c>
      <c r="C87" s="302">
        <f>D87*C75</f>
        <v>148000</v>
      </c>
      <c r="D87" s="415">
        <f>B87</f>
        <v>3.7</v>
      </c>
      <c r="E87" s="422">
        <v>0</v>
      </c>
      <c r="F87" s="420">
        <f>$F$76</f>
        <v>0.26318377777777779</v>
      </c>
      <c r="G87" s="282">
        <f>100%-F87</f>
        <v>0.73681622222222221</v>
      </c>
      <c r="H87" s="291">
        <f>C87*F87</f>
        <v>38951.199111111113</v>
      </c>
      <c r="I87" s="293">
        <f t="shared" si="7"/>
        <v>3.1953886023473292</v>
      </c>
      <c r="J87" s="291">
        <f>C87*G87</f>
        <v>109048.80088888889</v>
      </c>
      <c r="K87" s="293">
        <f t="shared" si="8"/>
        <v>3.8339545388504948</v>
      </c>
    </row>
    <row r="88" spans="1:11" s="262" customFormat="1" thickBot="1" x14ac:dyDescent="0.3">
      <c r="A88" s="273" t="s">
        <v>187</v>
      </c>
      <c r="B88" s="265">
        <f>B84-B85</f>
        <v>2.7638297872340423</v>
      </c>
      <c r="C88" s="303">
        <f>C89+C90</f>
        <v>110553.19148936169</v>
      </c>
      <c r="D88" s="416">
        <f>C88/C75</f>
        <v>2.7638297872340423</v>
      </c>
      <c r="E88" s="422">
        <v>0</v>
      </c>
      <c r="F88" s="419">
        <f>(H88/C88)</f>
        <v>0.41170129333333338</v>
      </c>
      <c r="G88" s="282">
        <f>J88/C88</f>
        <v>0.58829870666666662</v>
      </c>
      <c r="H88" s="291">
        <f>H89+H90</f>
        <v>45514.891918297872</v>
      </c>
      <c r="I88" s="293">
        <f t="shared" si="7"/>
        <v>3.7338456887534535</v>
      </c>
      <c r="J88" s="291">
        <f>J89+J90</f>
        <v>65038.299571063821</v>
      </c>
      <c r="K88" s="293">
        <f t="shared" si="8"/>
        <v>2.2866265544145499</v>
      </c>
    </row>
    <row r="89" spans="1:11" s="262" customFormat="1" thickBot="1" x14ac:dyDescent="0.3">
      <c r="A89" s="272" t="s">
        <v>188</v>
      </c>
      <c r="C89" s="302">
        <f>D89*C75</f>
        <v>37588.085106382976</v>
      </c>
      <c r="D89" s="417">
        <f>0.34*B88</f>
        <v>0.93970212765957439</v>
      </c>
      <c r="E89" s="422">
        <v>0</v>
      </c>
      <c r="F89" s="420">
        <v>0.7</v>
      </c>
      <c r="G89" s="282">
        <f>100%-F89</f>
        <v>0.30000000000000004</v>
      </c>
      <c r="H89" s="291">
        <f>C89*F89</f>
        <v>26311.659574468082</v>
      </c>
      <c r="I89" s="293">
        <f t="shared" si="7"/>
        <v>2.1584952204748684</v>
      </c>
      <c r="J89" s="291">
        <f>C89*G89</f>
        <v>11276.425531914894</v>
      </c>
      <c r="K89" s="293">
        <f t="shared" si="8"/>
        <v>0.39645830580150659</v>
      </c>
    </row>
    <row r="90" spans="1:11" s="262" customFormat="1" thickBot="1" x14ac:dyDescent="0.3">
      <c r="A90" s="273" t="s">
        <v>189</v>
      </c>
      <c r="C90" s="302">
        <f>D90*C75</f>
        <v>72965.106382978716</v>
      </c>
      <c r="D90" s="417">
        <f>0.66*B88</f>
        <v>1.824127659574468</v>
      </c>
      <c r="E90" s="422">
        <v>0</v>
      </c>
      <c r="F90" s="420">
        <f>$F$76</f>
        <v>0.26318377777777779</v>
      </c>
      <c r="G90" s="282">
        <f>100%-F90</f>
        <v>0.73681622222222221</v>
      </c>
      <c r="H90" s="291">
        <f>C90*F90</f>
        <v>19203.232343829786</v>
      </c>
      <c r="I90" s="293">
        <f t="shared" si="7"/>
        <v>1.5753504682785848</v>
      </c>
      <c r="J90" s="291">
        <f>C90*G90</f>
        <v>53761.874039148926</v>
      </c>
      <c r="K90" s="293">
        <f t="shared" si="8"/>
        <v>1.8901682486130436</v>
      </c>
    </row>
    <row r="91" spans="1:11" s="262" customFormat="1" ht="21.3" thickBot="1" x14ac:dyDescent="0.4">
      <c r="A91" s="272" t="s">
        <v>190</v>
      </c>
      <c r="B91" s="295">
        <v>1.8</v>
      </c>
      <c r="C91" s="303">
        <f>C92+C95</f>
        <v>72000</v>
      </c>
      <c r="D91" s="415">
        <f>C91/C75</f>
        <v>1.8</v>
      </c>
      <c r="E91" s="422">
        <v>0</v>
      </c>
      <c r="F91" s="419">
        <f>(H91/C91)</f>
        <v>0.63179594444444442</v>
      </c>
      <c r="G91" s="282">
        <f>J91/C91</f>
        <v>0.36820405555555552</v>
      </c>
      <c r="H91" s="291">
        <f>H92+H95</f>
        <v>45489.307999999997</v>
      </c>
      <c r="I91" s="293">
        <f t="shared" si="7"/>
        <v>3.7317468942927436</v>
      </c>
      <c r="J91" s="291">
        <f>J92+J95</f>
        <v>26510.691999999999</v>
      </c>
      <c r="K91" s="293">
        <f t="shared" si="8"/>
        <v>0.93206699287808303</v>
      </c>
    </row>
    <row r="92" spans="1:11" s="262" customFormat="1" thickBot="1" x14ac:dyDescent="0.3">
      <c r="A92" s="273" t="s">
        <v>191</v>
      </c>
      <c r="C92" s="303">
        <f>C93+C94</f>
        <v>3600.0000000000005</v>
      </c>
      <c r="D92" s="416">
        <f>C92/C75</f>
        <v>9.0000000000000011E-2</v>
      </c>
      <c r="E92" s="422">
        <v>0</v>
      </c>
      <c r="F92" s="419">
        <f>(H92/C92)</f>
        <v>0.7126367555555555</v>
      </c>
      <c r="G92" s="282">
        <f>J92/C92</f>
        <v>0.28736324444444444</v>
      </c>
      <c r="H92" s="291">
        <f>H93+H94</f>
        <v>2565.4923200000003</v>
      </c>
      <c r="I92" s="293">
        <f t="shared" si="7"/>
        <v>0.21046193970442212</v>
      </c>
      <c r="J92" s="291">
        <f>J93+J94</f>
        <v>1034.5076800000002</v>
      </c>
      <c r="K92" s="293">
        <f t="shared" si="8"/>
        <v>3.6371380362567769E-2</v>
      </c>
    </row>
    <row r="93" spans="1:11" s="262" customFormat="1" thickBot="1" x14ac:dyDescent="0.3">
      <c r="A93" s="272" t="s">
        <v>192</v>
      </c>
      <c r="B93" s="100"/>
      <c r="C93" s="303">
        <f>D93*C75</f>
        <v>2880.0000000000005</v>
      </c>
      <c r="D93" s="416">
        <f>0.04*B91</f>
        <v>7.2000000000000008E-2</v>
      </c>
      <c r="E93" s="422">
        <v>0</v>
      </c>
      <c r="F93" s="420">
        <v>0.7</v>
      </c>
      <c r="G93" s="282">
        <f>100%-F93</f>
        <v>0.30000000000000004</v>
      </c>
      <c r="H93" s="291">
        <f>C93*F93</f>
        <v>2016.0000000000002</v>
      </c>
      <c r="I93" s="293">
        <f t="shared" si="7"/>
        <v>0.16538395657489827</v>
      </c>
      <c r="J93" s="291">
        <f>C93*G93</f>
        <v>864.00000000000023</v>
      </c>
      <c r="K93" s="293">
        <f t="shared" si="8"/>
        <v>3.0376645085185405E-2</v>
      </c>
    </row>
    <row r="94" spans="1:11" s="262" customFormat="1" thickBot="1" x14ac:dyDescent="0.3">
      <c r="A94" s="273" t="s">
        <v>193</v>
      </c>
      <c r="B94" s="266">
        <v>5.8999999999999997E-2</v>
      </c>
      <c r="C94" s="302">
        <f>D94*C75</f>
        <v>720.00000000000011</v>
      </c>
      <c r="D94" s="417">
        <f>0.01*B91</f>
        <v>1.8000000000000002E-2</v>
      </c>
      <c r="E94" s="422">
        <v>0</v>
      </c>
      <c r="F94" s="420">
        <f>$F$76+50%</f>
        <v>0.76318377777777779</v>
      </c>
      <c r="G94" s="282">
        <f>100%-F94</f>
        <v>0.23681622222222221</v>
      </c>
      <c r="H94" s="291">
        <f>C94*F94</f>
        <v>549.49232000000006</v>
      </c>
      <c r="I94" s="294">
        <f t="shared" si="7"/>
        <v>4.5077983129523859E-2</v>
      </c>
      <c r="J94" s="291">
        <f>C94*G94</f>
        <v>170.50768000000002</v>
      </c>
      <c r="K94" s="293">
        <f t="shared" si="8"/>
        <v>5.9947352773823664E-3</v>
      </c>
    </row>
    <row r="95" spans="1:11" s="262" customFormat="1" thickBot="1" x14ac:dyDescent="0.3">
      <c r="A95" s="272" t="s">
        <v>194</v>
      </c>
      <c r="B95" s="100"/>
      <c r="C95" s="303">
        <f>C96+C97</f>
        <v>68400</v>
      </c>
      <c r="D95" s="416">
        <f>C95/C75</f>
        <v>1.71</v>
      </c>
      <c r="E95" s="422">
        <v>0</v>
      </c>
      <c r="F95" s="419">
        <f>(H95/C95)</f>
        <v>0.62754116491228074</v>
      </c>
      <c r="G95" s="282">
        <f>J95/C95</f>
        <v>0.37245883508771932</v>
      </c>
      <c r="H95" s="291">
        <f>H96+H97</f>
        <v>42923.81568</v>
      </c>
      <c r="I95" s="293">
        <f t="shared" si="7"/>
        <v>3.5212849545883218</v>
      </c>
      <c r="J95" s="291">
        <f>J96+J97</f>
        <v>25476.18432</v>
      </c>
      <c r="K95" s="293">
        <f t="shared" si="8"/>
        <v>0.89569561251551533</v>
      </c>
    </row>
    <row r="96" spans="1:11" s="262" customFormat="1" thickBot="1" x14ac:dyDescent="0.3">
      <c r="A96" s="273" t="s">
        <v>195</v>
      </c>
      <c r="B96" s="100"/>
      <c r="C96" s="302">
        <f>D96*C75</f>
        <v>51120</v>
      </c>
      <c r="D96" s="417">
        <f>0.71*B91</f>
        <v>1.278</v>
      </c>
      <c r="E96" s="422">
        <v>0</v>
      </c>
      <c r="F96" s="420">
        <v>0.7</v>
      </c>
      <c r="G96" s="282">
        <f>100%-F96</f>
        <v>0.30000000000000004</v>
      </c>
      <c r="H96" s="291">
        <f>C96*F96</f>
        <v>35784</v>
      </c>
      <c r="I96" s="293">
        <f t="shared" si="7"/>
        <v>2.9355652292044438</v>
      </c>
      <c r="J96" s="291">
        <f>C96*G96</f>
        <v>15336.000000000002</v>
      </c>
      <c r="K96" s="293">
        <f t="shared" si="8"/>
        <v>0.53918545026204079</v>
      </c>
    </row>
    <row r="97" spans="1:12" s="262" customFormat="1" thickBot="1" x14ac:dyDescent="0.3">
      <c r="A97" s="272" t="s">
        <v>196</v>
      </c>
      <c r="B97" s="100"/>
      <c r="C97" s="302">
        <f>D97*C75</f>
        <v>17280</v>
      </c>
      <c r="D97" s="417">
        <f>0.24*B91</f>
        <v>0.432</v>
      </c>
      <c r="E97" s="422">
        <v>0</v>
      </c>
      <c r="F97" s="420">
        <f>$F$76+15%</f>
        <v>0.41318377777777782</v>
      </c>
      <c r="G97" s="282">
        <f>100%-F97</f>
        <v>0.58681622222222218</v>
      </c>
      <c r="H97" s="291">
        <f>C97*F97</f>
        <v>7139.8156800000006</v>
      </c>
      <c r="I97" s="293">
        <f t="shared" si="7"/>
        <v>0.58571972538387784</v>
      </c>
      <c r="J97" s="291">
        <f>C97*G97</f>
        <v>10140.184319999998</v>
      </c>
      <c r="K97" s="293">
        <f t="shared" si="8"/>
        <v>0.35651016225347448</v>
      </c>
    </row>
    <row r="98" spans="1:12" s="262" customFormat="1" ht="21.3" thickBot="1" x14ac:dyDescent="0.4">
      <c r="A98" s="273" t="s">
        <v>197</v>
      </c>
      <c r="B98" s="295">
        <f>6.2*0.83</f>
        <v>5.1459999999999999</v>
      </c>
      <c r="C98" s="303">
        <f>C99</f>
        <v>205840</v>
      </c>
      <c r="D98" s="415">
        <f>C98/C75</f>
        <v>5.1459999999999999</v>
      </c>
      <c r="E98" s="422">
        <v>0</v>
      </c>
      <c r="F98" s="419">
        <f>(H98/C98)</f>
        <v>0.2683380488888889</v>
      </c>
      <c r="G98" s="282">
        <f>J98/C98</f>
        <v>0.7316619511111111</v>
      </c>
      <c r="H98" s="291">
        <f>H99</f>
        <v>55234.703983288891</v>
      </c>
      <c r="I98" s="293">
        <f t="shared" si="7"/>
        <v>4.5312172048609174</v>
      </c>
      <c r="J98" s="291">
        <f>J99</f>
        <v>150605.2960167111</v>
      </c>
      <c r="K98" s="293">
        <f t="shared" si="8"/>
        <v>5.2950041956584712</v>
      </c>
    </row>
    <row r="99" spans="1:12" s="262" customFormat="1" thickBot="1" x14ac:dyDescent="0.3">
      <c r="A99" s="272" t="s">
        <v>198</v>
      </c>
      <c r="C99" s="303">
        <f>C100+C101</f>
        <v>205840</v>
      </c>
      <c r="D99" s="416">
        <f>C99/C75</f>
        <v>5.1459999999999999</v>
      </c>
      <c r="E99" s="422">
        <v>0</v>
      </c>
      <c r="F99" s="419">
        <f>(H99/C99)</f>
        <v>0.2683380488888889</v>
      </c>
      <c r="G99" s="282">
        <f>J99/C99</f>
        <v>0.7316619511111111</v>
      </c>
      <c r="H99" s="291">
        <f>H100+H101</f>
        <v>55234.703983288891</v>
      </c>
      <c r="I99" s="293">
        <f t="shared" si="7"/>
        <v>4.5312172048609174</v>
      </c>
      <c r="J99" s="291">
        <f>J100+J101</f>
        <v>150605.2960167111</v>
      </c>
      <c r="K99" s="293">
        <f t="shared" si="8"/>
        <v>5.2950041956584712</v>
      </c>
    </row>
    <row r="100" spans="1:12" s="262" customFormat="1" thickBot="1" x14ac:dyDescent="0.3">
      <c r="A100" s="273" t="s">
        <v>199</v>
      </c>
      <c r="B100" s="100"/>
      <c r="C100" s="303">
        <f>D100*C75</f>
        <v>28817.600000000002</v>
      </c>
      <c r="D100" s="416">
        <f>0.14*B98</f>
        <v>0.72044000000000008</v>
      </c>
      <c r="E100" s="422">
        <v>0</v>
      </c>
      <c r="F100" s="420">
        <v>0.3</v>
      </c>
      <c r="G100" s="282">
        <f>100%-F100</f>
        <v>0.7</v>
      </c>
      <c r="H100" s="291">
        <f>C100*F100</f>
        <v>8645.2800000000007</v>
      </c>
      <c r="I100" s="293">
        <f t="shared" si="7"/>
        <v>0.70922153377868868</v>
      </c>
      <c r="J100" s="291">
        <f>C100*G100</f>
        <v>20172.32</v>
      </c>
      <c r="K100" s="293">
        <f t="shared" si="8"/>
        <v>0.70922153377868868</v>
      </c>
    </row>
    <row r="101" spans="1:12" s="262" customFormat="1" thickBot="1" x14ac:dyDescent="0.3">
      <c r="A101" s="272" t="s">
        <v>200</v>
      </c>
      <c r="B101" s="100"/>
      <c r="C101" s="302">
        <f>D101*C75</f>
        <v>177022.4</v>
      </c>
      <c r="D101" s="417">
        <f>0.86*B98</f>
        <v>4.4255599999999999</v>
      </c>
      <c r="E101" s="422">
        <v>0</v>
      </c>
      <c r="F101" s="420">
        <f>$F$76</f>
        <v>0.26318377777777779</v>
      </c>
      <c r="G101" s="282">
        <f>100%-F101</f>
        <v>0.73681622222222221</v>
      </c>
      <c r="H101" s="291">
        <f>C101*F101</f>
        <v>46589.423983288892</v>
      </c>
      <c r="I101" s="293">
        <f t="shared" si="7"/>
        <v>3.8219956710822287</v>
      </c>
      <c r="J101" s="291">
        <f>C101*G101</f>
        <v>130432.97601671111</v>
      </c>
      <c r="K101" s="293">
        <f t="shared" si="8"/>
        <v>4.585782661879783</v>
      </c>
    </row>
    <row r="102" spans="1:12" s="262" customFormat="1" ht="14.4" x14ac:dyDescent="0.25"/>
    <row r="103" spans="1:12" s="304" customFormat="1" ht="15.05" thickBot="1" x14ac:dyDescent="0.3"/>
    <row r="104" spans="1:12" s="262" customFormat="1" ht="14.4" x14ac:dyDescent="0.25"/>
    <row r="105" spans="1:12" ht="18.8" thickBot="1" x14ac:dyDescent="0.4">
      <c r="B105" s="262"/>
      <c r="C105" s="275"/>
      <c r="D105" s="275"/>
      <c r="F105" s="95"/>
      <c r="G105" s="95"/>
      <c r="H105" s="95"/>
      <c r="I105" s="267"/>
      <c r="J105" s="95"/>
      <c r="K105" s="267"/>
      <c r="L105" s="262"/>
    </row>
    <row r="106" spans="1:12" ht="18.2" x14ac:dyDescent="0.35">
      <c r="B106" s="262"/>
      <c r="C106" s="275"/>
      <c r="E106" s="494" t="str">
        <f>CONCATENATE(E107,"% Fe2(SO4)3 solution")</f>
        <v>40% Fe2(SO4)3 solution</v>
      </c>
      <c r="F106" s="495"/>
      <c r="H106" s="95"/>
      <c r="I106" s="288"/>
      <c r="J106" s="95"/>
      <c r="K106" s="267"/>
      <c r="L106" s="262"/>
    </row>
    <row r="107" spans="1:12" ht="18.2" x14ac:dyDescent="0.35">
      <c r="B107" s="262"/>
      <c r="C107" s="275"/>
      <c r="D107" s="275"/>
      <c r="E107" s="305">
        <v>40</v>
      </c>
      <c r="F107" s="308" t="s">
        <v>14</v>
      </c>
      <c r="H107" s="95"/>
      <c r="I107" s="288"/>
      <c r="J107" s="95"/>
      <c r="K107" s="267"/>
      <c r="L107" s="262"/>
    </row>
    <row r="108" spans="1:12" x14ac:dyDescent="0.3">
      <c r="B108" s="262"/>
      <c r="C108" s="275"/>
      <c r="D108" s="275"/>
      <c r="E108" s="307">
        <f>E107*10</f>
        <v>400</v>
      </c>
      <c r="F108" s="306" t="s">
        <v>369</v>
      </c>
      <c r="G108" s="95"/>
      <c r="H108" s="95"/>
      <c r="I108" s="95"/>
      <c r="J108" s="95"/>
      <c r="K108" s="95"/>
      <c r="L108" s="262"/>
    </row>
    <row r="109" spans="1:12" ht="18.2" x14ac:dyDescent="0.35">
      <c r="B109" s="96"/>
      <c r="C109" s="275"/>
      <c r="D109" s="275"/>
      <c r="E109" s="305">
        <v>1.52</v>
      </c>
      <c r="F109" s="306" t="s">
        <v>201</v>
      </c>
      <c r="G109" s="95"/>
      <c r="H109" s="95"/>
      <c r="I109" s="96"/>
      <c r="J109" s="96"/>
      <c r="K109" s="96"/>
      <c r="L109" s="262"/>
    </row>
    <row r="110" spans="1:12" ht="18.8" thickBot="1" x14ac:dyDescent="0.4">
      <c r="B110" s="262"/>
      <c r="C110" s="276"/>
      <c r="D110" s="276"/>
      <c r="E110" s="305">
        <v>4.5</v>
      </c>
      <c r="F110" s="310" t="str">
        <f>CONCATENATE("L ",E106,"/ton input")</f>
        <v>L 40% Fe2(SO4)3 solution/ton input</v>
      </c>
      <c r="G110" s="95"/>
      <c r="H110" s="95"/>
      <c r="I110" s="95"/>
      <c r="J110" s="95"/>
      <c r="K110" s="95"/>
      <c r="L110" s="262"/>
    </row>
    <row r="111" spans="1:12" s="262" customFormat="1" ht="21.3" thickBot="1" x14ac:dyDescent="0.4">
      <c r="A111" s="272" t="s">
        <v>361</v>
      </c>
      <c r="B111" s="295">
        <v>40000</v>
      </c>
      <c r="C111" s="303">
        <f>B111</f>
        <v>40000</v>
      </c>
      <c r="D111" s="411"/>
      <c r="E111" s="421">
        <f>(E110*E109/1000)*C111</f>
        <v>273.59999999999997</v>
      </c>
      <c r="F111" s="418">
        <v>0.3</v>
      </c>
      <c r="G111" s="282">
        <f>100%-F111</f>
        <v>0.7</v>
      </c>
      <c r="H111" s="291">
        <f>($C111+$E111)*F111</f>
        <v>12082.08</v>
      </c>
      <c r="I111" s="292"/>
      <c r="J111" s="291">
        <f>($C111+$E111)*G111</f>
        <v>28191.519999999997</v>
      </c>
      <c r="K111" s="292"/>
    </row>
    <row r="112" spans="1:12" s="262" customFormat="1" thickBot="1" x14ac:dyDescent="0.3">
      <c r="A112" s="273" t="s">
        <v>175</v>
      </c>
      <c r="C112" s="302">
        <f>(C111*1000)-C113</f>
        <v>36000000</v>
      </c>
      <c r="D112" s="412">
        <f>C112/C111</f>
        <v>900</v>
      </c>
      <c r="E112" s="422">
        <f>(E111*1000)-E113</f>
        <v>201599.99999999994</v>
      </c>
      <c r="F112" s="419">
        <f>(H112/C112)</f>
        <v>0.26076888888888888</v>
      </c>
      <c r="G112" s="282">
        <f>100%-F112</f>
        <v>0.73923111111111117</v>
      </c>
      <c r="H112" s="291">
        <f>(H111*1000)-H113</f>
        <v>9387680</v>
      </c>
      <c r="I112" s="293">
        <f t="shared" ref="I112:I137" si="10">H112/$H$75</f>
        <v>770.1248320729369</v>
      </c>
      <c r="J112" s="291">
        <f>(J111*1000)-J113</f>
        <v>26813919.999999996</v>
      </c>
      <c r="K112" s="293">
        <f t="shared" ref="K112:K137" si="11">J112/$J$75</f>
        <v>942.72792960943787</v>
      </c>
    </row>
    <row r="113" spans="1:11" s="262" customFormat="1" ht="21.3" thickBot="1" x14ac:dyDescent="0.4">
      <c r="A113" s="272" t="s">
        <v>176</v>
      </c>
      <c r="B113" s="295">
        <v>100</v>
      </c>
      <c r="C113" s="303">
        <f>C114+C117</f>
        <v>4000000</v>
      </c>
      <c r="D113" s="413">
        <f>C113/C111</f>
        <v>100</v>
      </c>
      <c r="E113" s="422">
        <f>E114+E117</f>
        <v>71999.999999999985</v>
      </c>
      <c r="F113" s="419">
        <f>(H113/C113)</f>
        <v>0.67359999999999998</v>
      </c>
      <c r="G113" s="282">
        <f>J113/C113</f>
        <v>0.34439999999999998</v>
      </c>
      <c r="H113" s="291">
        <f>H114+H117</f>
        <v>2694400</v>
      </c>
      <c r="I113" s="293">
        <f t="shared" si="10"/>
        <v>221.03697053343544</v>
      </c>
      <c r="J113" s="291">
        <f>J114+J117</f>
        <v>1377600</v>
      </c>
      <c r="K113" s="293">
        <f t="shared" si="11"/>
        <v>48.43387299693449</v>
      </c>
    </row>
    <row r="114" spans="1:11" s="262" customFormat="1" thickBot="1" x14ac:dyDescent="0.3">
      <c r="A114" s="273" t="s">
        <v>177</v>
      </c>
      <c r="B114" s="265">
        <f>B113-B117</f>
        <v>40</v>
      </c>
      <c r="C114" s="303">
        <f>C115+C116</f>
        <v>1600000</v>
      </c>
      <c r="D114" s="414">
        <f>C114/C111</f>
        <v>40</v>
      </c>
      <c r="E114" s="422">
        <f>E115+E116</f>
        <v>71999.999999999985</v>
      </c>
      <c r="F114" s="419">
        <f>(H114/C114)</f>
        <v>0.50900000000000001</v>
      </c>
      <c r="G114" s="282">
        <f>J114/C114</f>
        <v>0.53600000000000003</v>
      </c>
      <c r="H114" s="291">
        <f>H115+H116</f>
        <v>814400</v>
      </c>
      <c r="I114" s="293">
        <f t="shared" si="10"/>
        <v>66.809868171923185</v>
      </c>
      <c r="J114" s="291">
        <f>J115+J116</f>
        <v>857600</v>
      </c>
      <c r="K114" s="293">
        <f t="shared" si="11"/>
        <v>30.151632899369208</v>
      </c>
    </row>
    <row r="115" spans="1:11" s="262" customFormat="1" thickBot="1" x14ac:dyDescent="0.3">
      <c r="A115" s="272" t="s">
        <v>178</v>
      </c>
      <c r="C115" s="302">
        <f>D115*C111</f>
        <v>800000</v>
      </c>
      <c r="D115" s="412">
        <f>1/2*B114</f>
        <v>20</v>
      </c>
      <c r="E115" s="422">
        <v>0</v>
      </c>
      <c r="F115" s="420">
        <v>0.8</v>
      </c>
      <c r="G115" s="282">
        <f t="shared" ref="G115:G116" si="12">100%-F115</f>
        <v>0.19999999999999996</v>
      </c>
      <c r="H115" s="291">
        <f>($C115+$E115)*F115</f>
        <v>640000</v>
      </c>
      <c r="I115" s="293">
        <f t="shared" si="10"/>
        <v>52.502843357110557</v>
      </c>
      <c r="J115" s="291">
        <f>($C115+$E115)*G115</f>
        <v>159999.99999999997</v>
      </c>
      <c r="K115" s="293">
        <f t="shared" si="11"/>
        <v>5.625304645404702</v>
      </c>
    </row>
    <row r="116" spans="1:11" s="262" customFormat="1" thickBot="1" x14ac:dyDescent="0.3">
      <c r="A116" s="273" t="s">
        <v>179</v>
      </c>
      <c r="C116" s="302">
        <f>D116*C111</f>
        <v>800000</v>
      </c>
      <c r="D116" s="412">
        <f>1/2*B114</f>
        <v>20</v>
      </c>
      <c r="E116" s="422">
        <f>E108*(E111/E109)</f>
        <v>71999.999999999985</v>
      </c>
      <c r="F116" s="420">
        <v>0.2</v>
      </c>
      <c r="G116" s="282">
        <f t="shared" si="12"/>
        <v>0.8</v>
      </c>
      <c r="H116" s="291">
        <f>($C116+$E116)*F116</f>
        <v>174400</v>
      </c>
      <c r="I116" s="293">
        <f t="shared" si="10"/>
        <v>14.307024814812626</v>
      </c>
      <c r="J116" s="291">
        <f>($C116+$E116)*G116</f>
        <v>697600</v>
      </c>
      <c r="K116" s="293">
        <f t="shared" si="11"/>
        <v>24.526328253964504</v>
      </c>
    </row>
    <row r="117" spans="1:11" s="262" customFormat="1" ht="21.3" thickBot="1" x14ac:dyDescent="0.4">
      <c r="A117" s="272" t="s">
        <v>180</v>
      </c>
      <c r="B117" s="295">
        <f>0.6*B113</f>
        <v>60</v>
      </c>
      <c r="C117" s="303">
        <f>C118+C119</f>
        <v>2400000</v>
      </c>
      <c r="D117" s="413">
        <f>C117/C111</f>
        <v>60</v>
      </c>
      <c r="E117" s="422">
        <f>E118+E119</f>
        <v>0</v>
      </c>
      <c r="F117" s="419">
        <f>(H117/C117)</f>
        <v>0.78333333333333333</v>
      </c>
      <c r="G117" s="282">
        <f>J117/C117</f>
        <v>0.21666666666666665</v>
      </c>
      <c r="H117" s="291">
        <f>H118+H119</f>
        <v>1880000</v>
      </c>
      <c r="I117" s="293">
        <f t="shared" si="10"/>
        <v>154.22710236151227</v>
      </c>
      <c r="J117" s="291">
        <f>J118+J119</f>
        <v>519999.99999999994</v>
      </c>
      <c r="K117" s="293">
        <f t="shared" si="11"/>
        <v>18.282240097565282</v>
      </c>
    </row>
    <row r="118" spans="1:11" s="262" customFormat="1" thickBot="1" x14ac:dyDescent="0.3">
      <c r="A118" s="273" t="s">
        <v>181</v>
      </c>
      <c r="C118" s="302">
        <f>D118*C111</f>
        <v>2000000</v>
      </c>
      <c r="D118" s="412">
        <f>5/6*B117</f>
        <v>50</v>
      </c>
      <c r="E118" s="422">
        <v>0</v>
      </c>
      <c r="F118" s="420">
        <v>0.9</v>
      </c>
      <c r="G118" s="282">
        <f>100%-F118</f>
        <v>9.9999999999999978E-2</v>
      </c>
      <c r="H118" s="291">
        <f>($C118+$E118)*F118</f>
        <v>1800000</v>
      </c>
      <c r="I118" s="293">
        <f t="shared" si="10"/>
        <v>147.66424694187344</v>
      </c>
      <c r="J118" s="291">
        <f>($C118+$E118)*G118</f>
        <v>199999.99999999994</v>
      </c>
      <c r="K118" s="293">
        <f t="shared" si="11"/>
        <v>7.031630806755877</v>
      </c>
    </row>
    <row r="119" spans="1:11" s="262" customFormat="1" thickBot="1" x14ac:dyDescent="0.3">
      <c r="A119" s="272" t="s">
        <v>182</v>
      </c>
      <c r="C119" s="302">
        <f>D119*C111</f>
        <v>400000</v>
      </c>
      <c r="D119" s="412">
        <f>1/6*B117</f>
        <v>10</v>
      </c>
      <c r="E119" s="422">
        <v>0</v>
      </c>
      <c r="F119" s="420">
        <v>0.2</v>
      </c>
      <c r="G119" s="282">
        <f>100%-F119</f>
        <v>0.8</v>
      </c>
      <c r="H119" s="291">
        <f>($C119+$E119)*F119</f>
        <v>80000</v>
      </c>
      <c r="I119" s="293">
        <f t="shared" si="10"/>
        <v>6.5628554196388196</v>
      </c>
      <c r="J119" s="291">
        <f>($C119+$E119)*G119</f>
        <v>320000</v>
      </c>
      <c r="K119" s="293">
        <f t="shared" si="11"/>
        <v>11.250609290809406</v>
      </c>
    </row>
    <row r="120" spans="1:11" s="262" customFormat="1" ht="21.3" thickBot="1" x14ac:dyDescent="0.4">
      <c r="A120" s="273" t="s">
        <v>183</v>
      </c>
      <c r="B120" s="295">
        <v>6.7</v>
      </c>
      <c r="C120" s="303">
        <f>C121+C124</f>
        <v>268000</v>
      </c>
      <c r="D120" s="415">
        <f>C120/C111</f>
        <v>6.7</v>
      </c>
      <c r="E120" s="422">
        <v>0</v>
      </c>
      <c r="F120" s="419">
        <f>(H120/C120)</f>
        <v>0.33984648129423806</v>
      </c>
      <c r="G120" s="282">
        <f>J120/C120</f>
        <v>0.660153518705762</v>
      </c>
      <c r="H120" s="291">
        <f>H121+H124</f>
        <v>91078.856986855797</v>
      </c>
      <c r="I120" s="293">
        <f t="shared" si="10"/>
        <v>7.4717171273836938</v>
      </c>
      <c r="J120" s="291">
        <f>J121+J124</f>
        <v>176921.1430131442</v>
      </c>
      <c r="K120" s="293">
        <f t="shared" si="11"/>
        <v>6.2202207978884365</v>
      </c>
    </row>
    <row r="121" spans="1:11" s="262" customFormat="1" thickBot="1" x14ac:dyDescent="0.3">
      <c r="A121" s="272" t="s">
        <v>184</v>
      </c>
      <c r="B121" s="265">
        <f>D123/0.94</f>
        <v>3.9361702127659579</v>
      </c>
      <c r="C121" s="303">
        <f>C122+C123</f>
        <v>157446.80851063831</v>
      </c>
      <c r="D121" s="416">
        <f>C121/C111</f>
        <v>3.9361702127659579</v>
      </c>
      <c r="E121" s="422">
        <v>0</v>
      </c>
      <c r="F121" s="419">
        <f>(H121/C121)</f>
        <v>0.28939275111111112</v>
      </c>
      <c r="G121" s="282">
        <f>J121/C121</f>
        <v>0.71060724888888882</v>
      </c>
      <c r="H121" s="291">
        <f>H122+H123</f>
        <v>45563.965068557925</v>
      </c>
      <c r="I121" s="293">
        <f t="shared" si="10"/>
        <v>3.7378714386302403</v>
      </c>
      <c r="J121" s="291">
        <f>J122+J123</f>
        <v>111882.84344208038</v>
      </c>
      <c r="K121" s="293">
        <f t="shared" si="11"/>
        <v>3.9335942434738866</v>
      </c>
    </row>
    <row r="122" spans="1:11" s="262" customFormat="1" thickBot="1" x14ac:dyDescent="0.3">
      <c r="A122" s="273" t="s">
        <v>185</v>
      </c>
      <c r="C122" s="303">
        <f>D122*C111</f>
        <v>9446.8085106383096</v>
      </c>
      <c r="D122" s="416">
        <f>B121-D123</f>
        <v>0.23617021276595773</v>
      </c>
      <c r="E122" s="422">
        <v>0</v>
      </c>
      <c r="F122" s="420">
        <v>0.7</v>
      </c>
      <c r="G122" s="282">
        <f>100%-F122</f>
        <v>0.30000000000000004</v>
      </c>
      <c r="H122" s="291">
        <f>C122*F122</f>
        <v>6612.7659574468162</v>
      </c>
      <c r="I122" s="293">
        <f t="shared" si="10"/>
        <v>0.54248283628291161</v>
      </c>
      <c r="J122" s="291">
        <f>C122*G122</f>
        <v>2834.0425531914934</v>
      </c>
      <c r="K122" s="293">
        <f t="shared" si="11"/>
        <v>9.9639704623391959E-2</v>
      </c>
    </row>
    <row r="123" spans="1:11" s="262" customFormat="1" ht="21.3" thickBot="1" x14ac:dyDescent="0.4">
      <c r="A123" s="272" t="s">
        <v>186</v>
      </c>
      <c r="B123" s="295">
        <v>3.7</v>
      </c>
      <c r="C123" s="302">
        <f>D123*C111</f>
        <v>148000</v>
      </c>
      <c r="D123" s="415">
        <f>B123</f>
        <v>3.7</v>
      </c>
      <c r="E123" s="422">
        <v>0</v>
      </c>
      <c r="F123" s="420">
        <f>$F$76</f>
        <v>0.26318377777777779</v>
      </c>
      <c r="G123" s="282">
        <f>100%-F123</f>
        <v>0.73681622222222221</v>
      </c>
      <c r="H123" s="291">
        <f>C123*F123</f>
        <v>38951.199111111113</v>
      </c>
      <c r="I123" s="293">
        <f t="shared" si="10"/>
        <v>3.1953886023473292</v>
      </c>
      <c r="J123" s="291">
        <f>C123*G123</f>
        <v>109048.80088888889</v>
      </c>
      <c r="K123" s="293">
        <f t="shared" si="11"/>
        <v>3.8339545388504948</v>
      </c>
    </row>
    <row r="124" spans="1:11" s="262" customFormat="1" thickBot="1" x14ac:dyDescent="0.3">
      <c r="A124" s="273" t="s">
        <v>187</v>
      </c>
      <c r="B124" s="265">
        <f>B120-B121</f>
        <v>2.7638297872340423</v>
      </c>
      <c r="C124" s="303">
        <f>C125+C126</f>
        <v>110553.19148936169</v>
      </c>
      <c r="D124" s="416">
        <f>C124/C111</f>
        <v>2.7638297872340423</v>
      </c>
      <c r="E124" s="422">
        <v>0</v>
      </c>
      <c r="F124" s="419">
        <f>(H124/C124)</f>
        <v>0.41170129333333338</v>
      </c>
      <c r="G124" s="282">
        <f>J124/C124</f>
        <v>0.58829870666666662</v>
      </c>
      <c r="H124" s="291">
        <f>H125+H126</f>
        <v>45514.891918297872</v>
      </c>
      <c r="I124" s="293">
        <f t="shared" si="10"/>
        <v>3.7338456887534535</v>
      </c>
      <c r="J124" s="291">
        <f>J125+J126</f>
        <v>65038.299571063821</v>
      </c>
      <c r="K124" s="293">
        <f t="shared" si="11"/>
        <v>2.2866265544145499</v>
      </c>
    </row>
    <row r="125" spans="1:11" s="262" customFormat="1" thickBot="1" x14ac:dyDescent="0.3">
      <c r="A125" s="272" t="s">
        <v>188</v>
      </c>
      <c r="C125" s="302">
        <f>D125*C111</f>
        <v>37588.085106382976</v>
      </c>
      <c r="D125" s="417">
        <f>0.34*B124</f>
        <v>0.93970212765957439</v>
      </c>
      <c r="E125" s="422">
        <v>0</v>
      </c>
      <c r="F125" s="420">
        <v>0.7</v>
      </c>
      <c r="G125" s="282">
        <f>100%-F125</f>
        <v>0.30000000000000004</v>
      </c>
      <c r="H125" s="291">
        <f>C125*F125</f>
        <v>26311.659574468082</v>
      </c>
      <c r="I125" s="293">
        <f t="shared" si="10"/>
        <v>2.1584952204748684</v>
      </c>
      <c r="J125" s="291">
        <f>C125*G125</f>
        <v>11276.425531914894</v>
      </c>
      <c r="K125" s="293">
        <f t="shared" si="11"/>
        <v>0.39645830580150659</v>
      </c>
    </row>
    <row r="126" spans="1:11" s="262" customFormat="1" thickBot="1" x14ac:dyDescent="0.3">
      <c r="A126" s="273" t="s">
        <v>189</v>
      </c>
      <c r="C126" s="302">
        <f>D126*C111</f>
        <v>72965.106382978716</v>
      </c>
      <c r="D126" s="417">
        <f>0.66*B124</f>
        <v>1.824127659574468</v>
      </c>
      <c r="E126" s="422">
        <v>0</v>
      </c>
      <c r="F126" s="420">
        <f>$F$76</f>
        <v>0.26318377777777779</v>
      </c>
      <c r="G126" s="282">
        <f>100%-F126</f>
        <v>0.73681622222222221</v>
      </c>
      <c r="H126" s="291">
        <f>C126*F126</f>
        <v>19203.232343829786</v>
      </c>
      <c r="I126" s="293">
        <f t="shared" si="10"/>
        <v>1.5753504682785848</v>
      </c>
      <c r="J126" s="291">
        <f>C126*G126</f>
        <v>53761.874039148926</v>
      </c>
      <c r="K126" s="293">
        <f t="shared" si="11"/>
        <v>1.8901682486130436</v>
      </c>
    </row>
    <row r="127" spans="1:11" s="262" customFormat="1" ht="21.3" thickBot="1" x14ac:dyDescent="0.4">
      <c r="A127" s="272" t="s">
        <v>190</v>
      </c>
      <c r="B127" s="295">
        <v>1.8</v>
      </c>
      <c r="C127" s="303">
        <f>C128+C131</f>
        <v>72000</v>
      </c>
      <c r="D127" s="415">
        <f>C127/C111</f>
        <v>1.8</v>
      </c>
      <c r="E127" s="422">
        <v>0</v>
      </c>
      <c r="F127" s="419">
        <f>(H127/C127)</f>
        <v>0.63179594444444442</v>
      </c>
      <c r="G127" s="282">
        <f>J127/C127</f>
        <v>0.36820405555555552</v>
      </c>
      <c r="H127" s="291">
        <f>H128+H131</f>
        <v>45489.307999999997</v>
      </c>
      <c r="I127" s="293">
        <f t="shared" si="10"/>
        <v>3.7317468942927436</v>
      </c>
      <c r="J127" s="291">
        <f>J128+J131</f>
        <v>26510.691999999999</v>
      </c>
      <c r="K127" s="293">
        <f t="shared" si="11"/>
        <v>0.93206699287808303</v>
      </c>
    </row>
    <row r="128" spans="1:11" s="262" customFormat="1" thickBot="1" x14ac:dyDescent="0.3">
      <c r="A128" s="273" t="s">
        <v>191</v>
      </c>
      <c r="C128" s="303">
        <f>C129+C130</f>
        <v>3600.0000000000005</v>
      </c>
      <c r="D128" s="416">
        <f>C128/C111</f>
        <v>9.0000000000000011E-2</v>
      </c>
      <c r="E128" s="422">
        <v>0</v>
      </c>
      <c r="F128" s="419">
        <f>(H128/C128)</f>
        <v>0.7126367555555555</v>
      </c>
      <c r="G128" s="282">
        <f>J128/C128</f>
        <v>0.28736324444444444</v>
      </c>
      <c r="H128" s="291">
        <f>H129+H130</f>
        <v>2565.4923200000003</v>
      </c>
      <c r="I128" s="293">
        <f t="shared" si="10"/>
        <v>0.21046193970442212</v>
      </c>
      <c r="J128" s="291">
        <f>J129+J130</f>
        <v>1034.5076800000002</v>
      </c>
      <c r="K128" s="293">
        <f t="shared" si="11"/>
        <v>3.6371380362567769E-2</v>
      </c>
    </row>
    <row r="129" spans="1:12" s="262" customFormat="1" thickBot="1" x14ac:dyDescent="0.3">
      <c r="A129" s="272" t="s">
        <v>192</v>
      </c>
      <c r="B129" s="100"/>
      <c r="C129" s="303">
        <f>D129*C111</f>
        <v>2880.0000000000005</v>
      </c>
      <c r="D129" s="416">
        <f>0.04*B127</f>
        <v>7.2000000000000008E-2</v>
      </c>
      <c r="E129" s="422">
        <v>0</v>
      </c>
      <c r="F129" s="420">
        <v>0.7</v>
      </c>
      <c r="G129" s="282">
        <f>100%-F129</f>
        <v>0.30000000000000004</v>
      </c>
      <c r="H129" s="291">
        <f>C129*F129</f>
        <v>2016.0000000000002</v>
      </c>
      <c r="I129" s="293">
        <f t="shared" si="10"/>
        <v>0.16538395657489827</v>
      </c>
      <c r="J129" s="291">
        <f>C129*G129</f>
        <v>864.00000000000023</v>
      </c>
      <c r="K129" s="293">
        <f t="shared" si="11"/>
        <v>3.0376645085185405E-2</v>
      </c>
    </row>
    <row r="130" spans="1:12" s="262" customFormat="1" thickBot="1" x14ac:dyDescent="0.3">
      <c r="A130" s="273" t="s">
        <v>193</v>
      </c>
      <c r="B130" s="266">
        <v>5.8999999999999997E-2</v>
      </c>
      <c r="C130" s="302">
        <f>D130*C111</f>
        <v>720.00000000000011</v>
      </c>
      <c r="D130" s="417">
        <f>0.01*B127</f>
        <v>1.8000000000000002E-2</v>
      </c>
      <c r="E130" s="422">
        <v>0</v>
      </c>
      <c r="F130" s="420">
        <f>$F$76+50%</f>
        <v>0.76318377777777779</v>
      </c>
      <c r="G130" s="282">
        <f>100%-F130</f>
        <v>0.23681622222222221</v>
      </c>
      <c r="H130" s="291">
        <f>C130*F130</f>
        <v>549.49232000000006</v>
      </c>
      <c r="I130" s="294">
        <f t="shared" si="10"/>
        <v>4.5077983129523859E-2</v>
      </c>
      <c r="J130" s="291">
        <f>C130*G130</f>
        <v>170.50768000000002</v>
      </c>
      <c r="K130" s="293">
        <f t="shared" si="11"/>
        <v>5.9947352773823664E-3</v>
      </c>
    </row>
    <row r="131" spans="1:12" s="262" customFormat="1" thickBot="1" x14ac:dyDescent="0.3">
      <c r="A131" s="272" t="s">
        <v>194</v>
      </c>
      <c r="B131" s="100"/>
      <c r="C131" s="303">
        <f>C132+C133</f>
        <v>68400</v>
      </c>
      <c r="D131" s="416">
        <f>C131/C111</f>
        <v>1.71</v>
      </c>
      <c r="E131" s="422">
        <v>0</v>
      </c>
      <c r="F131" s="419">
        <f>(H131/C131)</f>
        <v>0.62754116491228074</v>
      </c>
      <c r="G131" s="282">
        <f>J131/C131</f>
        <v>0.37245883508771932</v>
      </c>
      <c r="H131" s="291">
        <f>H132+H133</f>
        <v>42923.81568</v>
      </c>
      <c r="I131" s="293">
        <f t="shared" si="10"/>
        <v>3.5212849545883218</v>
      </c>
      <c r="J131" s="291">
        <f>J132+J133</f>
        <v>25476.18432</v>
      </c>
      <c r="K131" s="293">
        <f t="shared" si="11"/>
        <v>0.89569561251551533</v>
      </c>
    </row>
    <row r="132" spans="1:12" s="262" customFormat="1" thickBot="1" x14ac:dyDescent="0.3">
      <c r="A132" s="273" t="s">
        <v>195</v>
      </c>
      <c r="B132" s="100"/>
      <c r="C132" s="302">
        <f>D132*C111</f>
        <v>51120</v>
      </c>
      <c r="D132" s="417">
        <f>0.71*B127</f>
        <v>1.278</v>
      </c>
      <c r="E132" s="422">
        <v>0</v>
      </c>
      <c r="F132" s="420">
        <v>0.7</v>
      </c>
      <c r="G132" s="282">
        <f>100%-F132</f>
        <v>0.30000000000000004</v>
      </c>
      <c r="H132" s="291">
        <f>C132*F132</f>
        <v>35784</v>
      </c>
      <c r="I132" s="293">
        <f t="shared" si="10"/>
        <v>2.9355652292044438</v>
      </c>
      <c r="J132" s="291">
        <f>C132*G132</f>
        <v>15336.000000000002</v>
      </c>
      <c r="K132" s="293">
        <f t="shared" si="11"/>
        <v>0.53918545026204079</v>
      </c>
    </row>
    <row r="133" spans="1:12" s="262" customFormat="1" thickBot="1" x14ac:dyDescent="0.3">
      <c r="A133" s="272" t="s">
        <v>196</v>
      </c>
      <c r="B133" s="100"/>
      <c r="C133" s="302">
        <f>D133*C111</f>
        <v>17280</v>
      </c>
      <c r="D133" s="417">
        <f>0.24*B127</f>
        <v>0.432</v>
      </c>
      <c r="E133" s="422">
        <v>0</v>
      </c>
      <c r="F133" s="420">
        <f>$F$76+15%</f>
        <v>0.41318377777777782</v>
      </c>
      <c r="G133" s="282">
        <f>100%-F133</f>
        <v>0.58681622222222218</v>
      </c>
      <c r="H133" s="291">
        <f>C133*F133</f>
        <v>7139.8156800000006</v>
      </c>
      <c r="I133" s="293">
        <f t="shared" si="10"/>
        <v>0.58571972538387784</v>
      </c>
      <c r="J133" s="291">
        <f>C133*G133</f>
        <v>10140.184319999998</v>
      </c>
      <c r="K133" s="293">
        <f t="shared" si="11"/>
        <v>0.35651016225347448</v>
      </c>
    </row>
    <row r="134" spans="1:12" s="262" customFormat="1" ht="21.3" thickBot="1" x14ac:dyDescent="0.4">
      <c r="A134" s="273" t="s">
        <v>197</v>
      </c>
      <c r="B134" s="295">
        <f>6.2*0.83</f>
        <v>5.1459999999999999</v>
      </c>
      <c r="C134" s="303">
        <f>C135</f>
        <v>205840</v>
      </c>
      <c r="D134" s="415">
        <f>C134/C111</f>
        <v>5.1459999999999999</v>
      </c>
      <c r="E134" s="422">
        <v>0</v>
      </c>
      <c r="F134" s="419">
        <f>(H134/C134)</f>
        <v>0.2683380488888889</v>
      </c>
      <c r="G134" s="282">
        <f>J134/C134</f>
        <v>0.7316619511111111</v>
      </c>
      <c r="H134" s="291">
        <f>H135</f>
        <v>55234.703983288891</v>
      </c>
      <c r="I134" s="293">
        <f t="shared" si="10"/>
        <v>4.5312172048609174</v>
      </c>
      <c r="J134" s="291">
        <f>J135</f>
        <v>150605.2960167111</v>
      </c>
      <c r="K134" s="293">
        <f t="shared" si="11"/>
        <v>5.2950041956584712</v>
      </c>
    </row>
    <row r="135" spans="1:12" s="262" customFormat="1" thickBot="1" x14ac:dyDescent="0.3">
      <c r="A135" s="272" t="s">
        <v>198</v>
      </c>
      <c r="C135" s="303">
        <f>C136+C137</f>
        <v>205840</v>
      </c>
      <c r="D135" s="416">
        <f>C135/C111</f>
        <v>5.1459999999999999</v>
      </c>
      <c r="E135" s="422">
        <v>0</v>
      </c>
      <c r="F135" s="419">
        <f>(H135/C135)</f>
        <v>0.2683380488888889</v>
      </c>
      <c r="G135" s="282">
        <f>J135/C135</f>
        <v>0.7316619511111111</v>
      </c>
      <c r="H135" s="291">
        <f>H136+H137</f>
        <v>55234.703983288891</v>
      </c>
      <c r="I135" s="293">
        <f t="shared" si="10"/>
        <v>4.5312172048609174</v>
      </c>
      <c r="J135" s="291">
        <f>J136+J137</f>
        <v>150605.2960167111</v>
      </c>
      <c r="K135" s="293">
        <f t="shared" si="11"/>
        <v>5.2950041956584712</v>
      </c>
    </row>
    <row r="136" spans="1:12" s="262" customFormat="1" thickBot="1" x14ac:dyDescent="0.3">
      <c r="A136" s="273" t="s">
        <v>199</v>
      </c>
      <c r="B136" s="100"/>
      <c r="C136" s="303">
        <f>D136*C111</f>
        <v>28817.600000000002</v>
      </c>
      <c r="D136" s="416">
        <f>0.14*B134</f>
        <v>0.72044000000000008</v>
      </c>
      <c r="E136" s="422">
        <v>0</v>
      </c>
      <c r="F136" s="420">
        <v>0.3</v>
      </c>
      <c r="G136" s="282">
        <f>100%-F136</f>
        <v>0.7</v>
      </c>
      <c r="H136" s="291">
        <f>C136*F136</f>
        <v>8645.2800000000007</v>
      </c>
      <c r="I136" s="293">
        <f t="shared" si="10"/>
        <v>0.70922153377868868</v>
      </c>
      <c r="J136" s="291">
        <f>C136*G136</f>
        <v>20172.32</v>
      </c>
      <c r="K136" s="293">
        <f t="shared" si="11"/>
        <v>0.70922153377868868</v>
      </c>
    </row>
    <row r="137" spans="1:12" s="262" customFormat="1" thickBot="1" x14ac:dyDescent="0.3">
      <c r="A137" s="272" t="s">
        <v>200</v>
      </c>
      <c r="B137" s="100"/>
      <c r="C137" s="302">
        <f>D137*C111</f>
        <v>177022.4</v>
      </c>
      <c r="D137" s="417">
        <f>0.86*B134</f>
        <v>4.4255599999999999</v>
      </c>
      <c r="E137" s="423">
        <v>0</v>
      </c>
      <c r="F137" s="420">
        <f>$F$76</f>
        <v>0.26318377777777779</v>
      </c>
      <c r="G137" s="282">
        <f>100%-F137</f>
        <v>0.73681622222222221</v>
      </c>
      <c r="H137" s="291">
        <f>C137*F137</f>
        <v>46589.423983288892</v>
      </c>
      <c r="I137" s="293">
        <f t="shared" si="10"/>
        <v>3.8219956710822287</v>
      </c>
      <c r="J137" s="291">
        <f>C137*G137</f>
        <v>130432.97601671111</v>
      </c>
      <c r="K137" s="293">
        <f t="shared" si="11"/>
        <v>4.585782661879783</v>
      </c>
    </row>
    <row r="138" spans="1:12" x14ac:dyDescent="0.3">
      <c r="A138" s="262"/>
      <c r="B138" s="262"/>
      <c r="C138" s="285"/>
      <c r="D138" s="285"/>
      <c r="E138" s="95"/>
      <c r="F138" s="95"/>
      <c r="G138" s="286"/>
      <c r="H138" s="95"/>
      <c r="I138" s="95"/>
      <c r="J138" s="95"/>
      <c r="K138" s="95"/>
      <c r="L138" s="262"/>
    </row>
    <row r="139" spans="1:12" s="304" customFormat="1" ht="18.2" thickBot="1" x14ac:dyDescent="0.35">
      <c r="C139" s="311"/>
      <c r="D139" s="311"/>
      <c r="E139" s="312"/>
      <c r="F139" s="312"/>
      <c r="G139" s="313"/>
      <c r="H139" s="312"/>
      <c r="I139" s="312"/>
      <c r="J139" s="312"/>
      <c r="K139" s="312"/>
    </row>
    <row r="140" spans="1:12" ht="18.2" x14ac:dyDescent="0.35">
      <c r="A140" s="262"/>
      <c r="B140" s="262"/>
      <c r="C140" s="285"/>
      <c r="D140" s="285"/>
      <c r="F140" s="95"/>
      <c r="G140" s="95"/>
      <c r="H140" s="95"/>
      <c r="I140" s="267"/>
      <c r="J140" s="95"/>
      <c r="K140" s="267"/>
      <c r="L140" s="262"/>
    </row>
    <row r="141" spans="1:12" ht="18.8" thickBot="1" x14ac:dyDescent="0.4">
      <c r="B141" s="107"/>
      <c r="C141" s="275"/>
      <c r="D141" s="275"/>
      <c r="E141" s="95"/>
      <c r="F141" s="94"/>
      <c r="G141" s="287"/>
      <c r="H141" s="95"/>
      <c r="I141" s="267"/>
      <c r="J141" s="95"/>
      <c r="K141" s="267"/>
      <c r="L141" s="262"/>
    </row>
    <row r="142" spans="1:12" ht="18.2" x14ac:dyDescent="0.35">
      <c r="B142" s="108"/>
      <c r="C142" s="275"/>
      <c r="E142" s="494" t="str">
        <f>CONCATENATE(E143,"% MgCl2 solution")</f>
        <v>32% MgCl2 solution</v>
      </c>
      <c r="F142" s="495"/>
      <c r="G142" s="262"/>
      <c r="H142" s="95"/>
      <c r="I142" s="288"/>
      <c r="J142" s="95"/>
      <c r="K142" s="267"/>
      <c r="L142" s="262"/>
    </row>
    <row r="143" spans="1:12" ht="18.2" x14ac:dyDescent="0.35">
      <c r="B143" s="108"/>
      <c r="C143" s="275"/>
      <c r="D143" s="275"/>
      <c r="E143" s="305">
        <v>32</v>
      </c>
      <c r="F143" s="308" t="s">
        <v>14</v>
      </c>
      <c r="G143" s="262"/>
      <c r="H143" s="95"/>
      <c r="I143" s="288"/>
      <c r="J143" s="95"/>
      <c r="K143" s="267"/>
      <c r="L143" s="262"/>
    </row>
    <row r="144" spans="1:12" x14ac:dyDescent="0.3">
      <c r="B144" s="108"/>
      <c r="C144" s="275"/>
      <c r="D144" s="275"/>
      <c r="E144" s="307">
        <f>E143*10</f>
        <v>320</v>
      </c>
      <c r="F144" s="306" t="s">
        <v>370</v>
      </c>
      <c r="G144" s="95"/>
      <c r="H144" s="95"/>
      <c r="I144" s="95"/>
      <c r="J144" s="95"/>
      <c r="K144" s="95"/>
      <c r="L144" s="262"/>
    </row>
    <row r="145" spans="1:12" ht="18.2" x14ac:dyDescent="0.35">
      <c r="B145" s="96"/>
      <c r="C145" s="275"/>
      <c r="D145" s="275"/>
      <c r="E145" s="305">
        <v>1.28</v>
      </c>
      <c r="F145" s="306" t="s">
        <v>201</v>
      </c>
      <c r="G145" s="95"/>
      <c r="H145" s="95"/>
      <c r="I145" s="96"/>
      <c r="J145" s="96"/>
      <c r="K145" s="96"/>
      <c r="L145" s="262"/>
    </row>
    <row r="146" spans="1:12" ht="18.8" thickBot="1" x14ac:dyDescent="0.4">
      <c r="B146" s="108"/>
      <c r="C146" s="276"/>
      <c r="D146" s="276"/>
      <c r="E146" s="305">
        <v>1.8</v>
      </c>
      <c r="F146" s="310" t="str">
        <f>CONCATENATE("L ",E142,"/ton input")</f>
        <v>L 32% MgCl2 solution/ton input</v>
      </c>
      <c r="G146" s="95"/>
      <c r="H146" s="95"/>
      <c r="I146" s="95"/>
      <c r="J146" s="95"/>
      <c r="K146" s="95"/>
      <c r="L146" s="262"/>
    </row>
    <row r="147" spans="1:12" s="262" customFormat="1" ht="21.3" thickBot="1" x14ac:dyDescent="0.4">
      <c r="A147" s="272" t="s">
        <v>361</v>
      </c>
      <c r="B147" s="295">
        <v>1218</v>
      </c>
      <c r="C147" s="303">
        <f>B147</f>
        <v>1218</v>
      </c>
      <c r="D147" s="411"/>
      <c r="E147" s="421">
        <f>(E146*E145/1000)*C147</f>
        <v>2.8062719999999999</v>
      </c>
      <c r="F147" s="418">
        <v>0.3</v>
      </c>
      <c r="G147" s="282">
        <f>100%-F147</f>
        <v>0.7</v>
      </c>
      <c r="H147" s="291">
        <f>($C147+$E147)*F147</f>
        <v>366.2418816</v>
      </c>
      <c r="I147" s="292"/>
      <c r="J147" s="291">
        <f>($C147+$E147)*G147</f>
        <v>854.56439039999998</v>
      </c>
      <c r="K147" s="292"/>
    </row>
    <row r="148" spans="1:12" s="262" customFormat="1" thickBot="1" x14ac:dyDescent="0.3">
      <c r="A148" s="273" t="s">
        <v>175</v>
      </c>
      <c r="C148" s="302">
        <f>(C147*1000)-C149</f>
        <v>1096200</v>
      </c>
      <c r="D148" s="412">
        <f>C148/C147</f>
        <v>900</v>
      </c>
      <c r="E148" s="422">
        <f>(E147*1000)-E149</f>
        <v>2104.7040000000002</v>
      </c>
      <c r="F148" s="419">
        <f>(H148/C148)</f>
        <v>0.26286222222222227</v>
      </c>
      <c r="G148" s="282">
        <f>100%-F148</f>
        <v>0.73713777777777767</v>
      </c>
      <c r="H148" s="291">
        <f>(H147*1000)-H149</f>
        <v>288149.56800000003</v>
      </c>
      <c r="I148" s="293">
        <f t="shared" ref="I148:I173" si="13">H148/$H$147</f>
        <v>786.77393951003558</v>
      </c>
      <c r="J148" s="291">
        <f>(J147*1000)-J149</f>
        <v>810155.13600000006</v>
      </c>
      <c r="K148" s="293">
        <f t="shared" ref="K148:K173" si="14">J148/$J$147</f>
        <v>948.03287511288283</v>
      </c>
    </row>
    <row r="149" spans="1:12" s="262" customFormat="1" ht="21.3" thickBot="1" x14ac:dyDescent="0.4">
      <c r="A149" s="272" t="s">
        <v>176</v>
      </c>
      <c r="B149" s="295">
        <v>100</v>
      </c>
      <c r="C149" s="303">
        <f>C150+C153</f>
        <v>121800</v>
      </c>
      <c r="D149" s="413">
        <f>C149/C147</f>
        <v>100</v>
      </c>
      <c r="E149" s="422">
        <f>E150+E153</f>
        <v>701.56799999999987</v>
      </c>
      <c r="F149" s="419">
        <f>(H149/C149)</f>
        <v>0.64115199999999994</v>
      </c>
      <c r="G149" s="282">
        <f>J149/C149</f>
        <v>0.36460799999999993</v>
      </c>
      <c r="H149" s="291">
        <f>H150+H153</f>
        <v>78092.313599999994</v>
      </c>
      <c r="I149" s="293">
        <f t="shared" si="13"/>
        <v>213.22606048996445</v>
      </c>
      <c r="J149" s="291">
        <f>J150+J153</f>
        <v>44409.254399999991</v>
      </c>
      <c r="K149" s="293">
        <f t="shared" si="14"/>
        <v>51.967124887117215</v>
      </c>
    </row>
    <row r="150" spans="1:12" s="262" customFormat="1" thickBot="1" x14ac:dyDescent="0.3">
      <c r="A150" s="273" t="s">
        <v>177</v>
      </c>
      <c r="B150" s="265">
        <f>B149-B153</f>
        <v>30</v>
      </c>
      <c r="C150" s="303">
        <f>C151+C152</f>
        <v>36540</v>
      </c>
      <c r="D150" s="414">
        <f>C150/C147</f>
        <v>30</v>
      </c>
      <c r="E150" s="422">
        <f>E151+E152</f>
        <v>701.56799999999987</v>
      </c>
      <c r="F150" s="419">
        <f>(H150/C150)</f>
        <v>0.50384000000000007</v>
      </c>
      <c r="G150" s="282">
        <f>J150/C150</f>
        <v>0.51535999999999993</v>
      </c>
      <c r="H150" s="291">
        <f>H151+H152</f>
        <v>18410.313600000001</v>
      </c>
      <c r="I150" s="293">
        <f t="shared" si="13"/>
        <v>50.268182108422202</v>
      </c>
      <c r="J150" s="291">
        <f>J151+J152</f>
        <v>18831.254399999998</v>
      </c>
      <c r="K150" s="293">
        <f t="shared" si="14"/>
        <v>22.036086000711503</v>
      </c>
    </row>
    <row r="151" spans="1:12" s="262" customFormat="1" thickBot="1" x14ac:dyDescent="0.3">
      <c r="A151" s="272" t="s">
        <v>178</v>
      </c>
      <c r="C151" s="302">
        <f>D151*C147</f>
        <v>18270</v>
      </c>
      <c r="D151" s="412">
        <f>1/2*B150</f>
        <v>15</v>
      </c>
      <c r="E151" s="422">
        <v>0</v>
      </c>
      <c r="F151" s="420">
        <v>0.8</v>
      </c>
      <c r="G151" s="282">
        <f t="shared" ref="G151:G152" si="15">100%-F151</f>
        <v>0.19999999999999996</v>
      </c>
      <c r="H151" s="291">
        <f>($C151+$E151)*F151</f>
        <v>14616</v>
      </c>
      <c r="I151" s="293">
        <f t="shared" si="13"/>
        <v>39.908051848540964</v>
      </c>
      <c r="J151" s="291">
        <f>($C151+$E151)*G151</f>
        <v>3653.9999999999991</v>
      </c>
      <c r="K151" s="293">
        <f t="shared" si="14"/>
        <v>4.275862698057959</v>
      </c>
    </row>
    <row r="152" spans="1:12" s="262" customFormat="1" thickBot="1" x14ac:dyDescent="0.3">
      <c r="A152" s="273" t="s">
        <v>179</v>
      </c>
      <c r="C152" s="302">
        <f>D152*C147</f>
        <v>18270</v>
      </c>
      <c r="D152" s="412">
        <f>1/2*B150</f>
        <v>15</v>
      </c>
      <c r="E152" s="422">
        <f>E144*(E147/E145)</f>
        <v>701.56799999999987</v>
      </c>
      <c r="F152" s="420">
        <v>0.2</v>
      </c>
      <c r="G152" s="282">
        <f t="shared" si="15"/>
        <v>0.8</v>
      </c>
      <c r="H152" s="291">
        <f>($C152+$E152)*F152</f>
        <v>3794.3136</v>
      </c>
      <c r="I152" s="293">
        <f t="shared" si="13"/>
        <v>10.360130259881233</v>
      </c>
      <c r="J152" s="291">
        <f>($C152+$E152)*G152</f>
        <v>15177.2544</v>
      </c>
      <c r="K152" s="293">
        <f t="shared" si="14"/>
        <v>17.760223302653543</v>
      </c>
    </row>
    <row r="153" spans="1:12" s="262" customFormat="1" ht="21.3" thickBot="1" x14ac:dyDescent="0.4">
      <c r="A153" s="272" t="s">
        <v>180</v>
      </c>
      <c r="B153" s="295">
        <f>0.7*B149</f>
        <v>70</v>
      </c>
      <c r="C153" s="303">
        <f>C154+C155</f>
        <v>85260</v>
      </c>
      <c r="D153" s="413">
        <f>C153/C147</f>
        <v>70</v>
      </c>
      <c r="E153" s="422">
        <f>E154+E155</f>
        <v>0</v>
      </c>
      <c r="F153" s="419">
        <f>(H153/C153)</f>
        <v>0.7</v>
      </c>
      <c r="G153" s="282">
        <f>J153/C153</f>
        <v>0.29999999999999993</v>
      </c>
      <c r="H153" s="291">
        <f>H154+H155</f>
        <v>59682</v>
      </c>
      <c r="I153" s="293">
        <f t="shared" si="13"/>
        <v>162.95787838154226</v>
      </c>
      <c r="J153" s="291">
        <f>J154+J155</f>
        <v>25577.999999999996</v>
      </c>
      <c r="K153" s="293">
        <f t="shared" si="14"/>
        <v>29.931038886405716</v>
      </c>
    </row>
    <row r="154" spans="1:12" s="262" customFormat="1" thickBot="1" x14ac:dyDescent="0.3">
      <c r="A154" s="273" t="s">
        <v>181</v>
      </c>
      <c r="C154" s="302">
        <f>D154*C147</f>
        <v>71050</v>
      </c>
      <c r="D154" s="412">
        <f>5/6*B153</f>
        <v>58.333333333333336</v>
      </c>
      <c r="E154" s="422">
        <v>0</v>
      </c>
      <c r="F154" s="420">
        <v>0.8</v>
      </c>
      <c r="G154" s="282">
        <f>100%-F154</f>
        <v>0.19999999999999996</v>
      </c>
      <c r="H154" s="291">
        <f>($C154+$E154)*F154</f>
        <v>56840</v>
      </c>
      <c r="I154" s="293">
        <f t="shared" si="13"/>
        <v>155.19797941099262</v>
      </c>
      <c r="J154" s="291">
        <f>($C154+$E154)*G154</f>
        <v>14209.999999999996</v>
      </c>
      <c r="K154" s="293">
        <f t="shared" si="14"/>
        <v>16.628354936892062</v>
      </c>
    </row>
    <row r="155" spans="1:12" s="262" customFormat="1" thickBot="1" x14ac:dyDescent="0.3">
      <c r="A155" s="272" t="s">
        <v>182</v>
      </c>
      <c r="C155" s="302">
        <f>D155*C147</f>
        <v>14210</v>
      </c>
      <c r="D155" s="412">
        <f>1/6*B153</f>
        <v>11.666666666666666</v>
      </c>
      <c r="E155" s="422">
        <v>0</v>
      </c>
      <c r="F155" s="420">
        <v>0.2</v>
      </c>
      <c r="G155" s="282">
        <f>100%-F155</f>
        <v>0.8</v>
      </c>
      <c r="H155" s="291">
        <f>($C155+$E155)*F155</f>
        <v>2842</v>
      </c>
      <c r="I155" s="293">
        <f t="shared" si="13"/>
        <v>7.7598989705496315</v>
      </c>
      <c r="J155" s="291">
        <f>($C155+$E155)*G155</f>
        <v>11368</v>
      </c>
      <c r="K155" s="293">
        <f t="shared" si="14"/>
        <v>13.302683949513654</v>
      </c>
    </row>
    <row r="156" spans="1:12" s="262" customFormat="1" ht="21.3" thickBot="1" x14ac:dyDescent="0.4">
      <c r="A156" s="273" t="s">
        <v>183</v>
      </c>
      <c r="B156" s="295">
        <v>7.3</v>
      </c>
      <c r="C156" s="303">
        <f>C157+C160</f>
        <v>8891.4</v>
      </c>
      <c r="D156" s="415">
        <f>C156/C147</f>
        <v>7.3</v>
      </c>
      <c r="E156" s="422">
        <v>0</v>
      </c>
      <c r="F156" s="419">
        <f>(H156/C156)</f>
        <v>0.37024848245085662</v>
      </c>
      <c r="G156" s="282">
        <f>J156/C156</f>
        <v>0.62975151754914338</v>
      </c>
      <c r="H156" s="291">
        <f>H157+H160</f>
        <v>3292.0273568635466</v>
      </c>
      <c r="I156" s="293">
        <f t="shared" si="13"/>
        <v>8.9886698443162061</v>
      </c>
      <c r="J156" s="291">
        <f>J157+J160</f>
        <v>5599.372643136453</v>
      </c>
      <c r="K156" s="293">
        <f t="shared" si="14"/>
        <v>6.5523121558055193</v>
      </c>
    </row>
    <row r="157" spans="1:12" s="262" customFormat="1" thickBot="1" x14ac:dyDescent="0.3">
      <c r="A157" s="272" t="s">
        <v>184</v>
      </c>
      <c r="B157" s="265">
        <f>D159/0.94</f>
        <v>5.3191489361702127</v>
      </c>
      <c r="C157" s="303">
        <f>C158+C159</f>
        <v>6478.7234042553191</v>
      </c>
      <c r="D157" s="416">
        <f>C157/C147</f>
        <v>5.3191489361702127</v>
      </c>
      <c r="E157" s="422">
        <v>0</v>
      </c>
      <c r="F157" s="419">
        <f>(H157/C157)</f>
        <v>0.35489048888888891</v>
      </c>
      <c r="G157" s="282">
        <f>J157/C157</f>
        <v>0.64510951111111103</v>
      </c>
      <c r="H157" s="291">
        <f>H158+H159</f>
        <v>2299.2373163120569</v>
      </c>
      <c r="I157" s="293">
        <f t="shared" si="13"/>
        <v>6.2779202265655272</v>
      </c>
      <c r="J157" s="291">
        <f>J158+J159</f>
        <v>4179.4860879432617</v>
      </c>
      <c r="K157" s="293">
        <f t="shared" si="14"/>
        <v>4.8907796005716433</v>
      </c>
    </row>
    <row r="158" spans="1:12" s="262" customFormat="1" thickBot="1" x14ac:dyDescent="0.3">
      <c r="A158" s="273" t="s">
        <v>185</v>
      </c>
      <c r="C158" s="303">
        <f>D158*C147</f>
        <v>388.72340425531905</v>
      </c>
      <c r="D158" s="416">
        <f>B157-D159</f>
        <v>0.31914893617021267</v>
      </c>
      <c r="E158" s="422">
        <v>0</v>
      </c>
      <c r="F158" s="420">
        <v>0.7</v>
      </c>
      <c r="G158" s="282">
        <f>100%-F158</f>
        <v>0.30000000000000004</v>
      </c>
      <c r="H158" s="291">
        <f>C158*F158</f>
        <v>272.10638297872333</v>
      </c>
      <c r="I158" s="293">
        <f t="shared" si="13"/>
        <v>0.74296905037177308</v>
      </c>
      <c r="J158" s="291">
        <f>C158*G158</f>
        <v>116.61702127659574</v>
      </c>
      <c r="K158" s="293">
        <f t="shared" si="14"/>
        <v>0.13646370312950937</v>
      </c>
    </row>
    <row r="159" spans="1:12" s="262" customFormat="1" ht="21.3" thickBot="1" x14ac:dyDescent="0.4">
      <c r="A159" s="272" t="s">
        <v>186</v>
      </c>
      <c r="B159" s="295">
        <v>5</v>
      </c>
      <c r="C159" s="302">
        <f>D159*C147</f>
        <v>6090</v>
      </c>
      <c r="D159" s="415">
        <f>B159</f>
        <v>5</v>
      </c>
      <c r="E159" s="422">
        <v>0</v>
      </c>
      <c r="F159" s="420">
        <f>$F$148+7%</f>
        <v>0.33286222222222228</v>
      </c>
      <c r="G159" s="282">
        <f>100%-F159</f>
        <v>0.66713777777777772</v>
      </c>
      <c r="H159" s="291">
        <f>C159*F159</f>
        <v>2027.1309333333336</v>
      </c>
      <c r="I159" s="293">
        <f t="shared" si="13"/>
        <v>5.5349511761937542</v>
      </c>
      <c r="J159" s="291">
        <f>C159*G159</f>
        <v>4062.8690666666662</v>
      </c>
      <c r="K159" s="293">
        <f t="shared" si="14"/>
        <v>4.754315897442134</v>
      </c>
    </row>
    <row r="160" spans="1:12" s="262" customFormat="1" thickBot="1" x14ac:dyDescent="0.3">
      <c r="A160" s="273" t="s">
        <v>187</v>
      </c>
      <c r="B160" s="265">
        <f>B156-B157</f>
        <v>1.9808510638297872</v>
      </c>
      <c r="C160" s="303">
        <f>C161+C162</f>
        <v>2412.676595744681</v>
      </c>
      <c r="D160" s="416">
        <f>C160/C147</f>
        <v>1.9808510638297874</v>
      </c>
      <c r="E160" s="422">
        <v>0</v>
      </c>
      <c r="F160" s="419">
        <f>(H160/C160)</f>
        <v>0.41148906666666668</v>
      </c>
      <c r="G160" s="282">
        <f>J160/C160</f>
        <v>0.58851093333333326</v>
      </c>
      <c r="H160" s="291">
        <f>H161+H162</f>
        <v>992.79004055148948</v>
      </c>
      <c r="I160" s="293">
        <f t="shared" si="13"/>
        <v>2.7107496177506794</v>
      </c>
      <c r="J160" s="291">
        <f>J161+J162</f>
        <v>1419.8865551931913</v>
      </c>
      <c r="K160" s="293">
        <f t="shared" si="14"/>
        <v>1.6615325552338758</v>
      </c>
    </row>
    <row r="161" spans="1:11" s="262" customFormat="1" thickBot="1" x14ac:dyDescent="0.3">
      <c r="A161" s="272" t="s">
        <v>188</v>
      </c>
      <c r="C161" s="302">
        <f>D161*C147</f>
        <v>820.31004255319158</v>
      </c>
      <c r="D161" s="417">
        <f>0.34*B160</f>
        <v>0.6734893617021277</v>
      </c>
      <c r="E161" s="422">
        <v>0</v>
      </c>
      <c r="F161" s="420">
        <v>0.7</v>
      </c>
      <c r="G161" s="282">
        <f>100%-F161</f>
        <v>0.30000000000000004</v>
      </c>
      <c r="H161" s="291">
        <f>C161*F161</f>
        <v>574.21702978723408</v>
      </c>
      <c r="I161" s="293">
        <f t="shared" si="13"/>
        <v>1.5678628213645407</v>
      </c>
      <c r="J161" s="291">
        <f>C161*G161</f>
        <v>246.0930127659575</v>
      </c>
      <c r="K161" s="293">
        <f t="shared" si="14"/>
        <v>0.28797480392409935</v>
      </c>
    </row>
    <row r="162" spans="1:11" s="262" customFormat="1" thickBot="1" x14ac:dyDescent="0.3">
      <c r="A162" s="273" t="s">
        <v>189</v>
      </c>
      <c r="C162" s="302">
        <f>D162*C147</f>
        <v>1592.3665531914894</v>
      </c>
      <c r="D162" s="417">
        <f>0.66*B160</f>
        <v>1.3073617021276596</v>
      </c>
      <c r="E162" s="422">
        <v>0</v>
      </c>
      <c r="F162" s="420">
        <f>$F$148</f>
        <v>0.26286222222222227</v>
      </c>
      <c r="G162" s="282">
        <f>100%-F162</f>
        <v>0.73713777777777767</v>
      </c>
      <c r="H162" s="291">
        <f>C162*F162</f>
        <v>418.5730107642554</v>
      </c>
      <c r="I162" s="293">
        <f t="shared" si="13"/>
        <v>1.1428867963861384</v>
      </c>
      <c r="J162" s="291">
        <f>C162*G162</f>
        <v>1173.7935424272339</v>
      </c>
      <c r="K162" s="293">
        <f t="shared" si="14"/>
        <v>1.3735577513097765</v>
      </c>
    </row>
    <row r="163" spans="1:11" s="262" customFormat="1" ht="21.3" thickBot="1" x14ac:dyDescent="0.4">
      <c r="A163" s="272" t="s">
        <v>190</v>
      </c>
      <c r="B163" s="295">
        <f>3.9*0.436</f>
        <v>1.7003999999999999</v>
      </c>
      <c r="C163" s="303">
        <f>C164+C167</f>
        <v>2071.0871999999995</v>
      </c>
      <c r="D163" s="415">
        <f>C163/C147</f>
        <v>1.7003999999999995</v>
      </c>
      <c r="E163" s="422">
        <v>0</v>
      </c>
      <c r="F163" s="419">
        <f>(H163/C163)</f>
        <v>0.71771555555555566</v>
      </c>
      <c r="G163" s="282">
        <f>J163/C163</f>
        <v>0.28228444444444445</v>
      </c>
      <c r="H163" s="291">
        <f>H164+H167</f>
        <v>1486.4515003519998</v>
      </c>
      <c r="I163" s="293">
        <f t="shared" si="13"/>
        <v>4.0586606148323146</v>
      </c>
      <c r="J163" s="291">
        <f>J164+J167</f>
        <v>584.6356996479999</v>
      </c>
      <c r="K163" s="293">
        <f t="shared" si="14"/>
        <v>0.68413299947397377</v>
      </c>
    </row>
    <row r="164" spans="1:11" s="262" customFormat="1" thickBot="1" x14ac:dyDescent="0.3">
      <c r="A164" s="273" t="s">
        <v>191</v>
      </c>
      <c r="C164" s="303">
        <f>C165+C166</f>
        <v>103.55435999999999</v>
      </c>
      <c r="D164" s="416">
        <f>C164/C147</f>
        <v>8.5019999999999984E-2</v>
      </c>
      <c r="E164" s="422">
        <v>0</v>
      </c>
      <c r="F164" s="419">
        <f>(H164/C164)</f>
        <v>0.75257244444444438</v>
      </c>
      <c r="G164" s="282">
        <f>J164/C164</f>
        <v>0.24742755555555557</v>
      </c>
      <c r="H164" s="291">
        <f>H165+H166</f>
        <v>77.932157838079988</v>
      </c>
      <c r="I164" s="293">
        <f t="shared" si="13"/>
        <v>0.21278876543998179</v>
      </c>
      <c r="J164" s="291">
        <f>J165+J166</f>
        <v>25.622202161919997</v>
      </c>
      <c r="K164" s="293">
        <f t="shared" si="14"/>
        <v>2.9982763674398945E-2</v>
      </c>
    </row>
    <row r="165" spans="1:11" s="262" customFormat="1" thickBot="1" x14ac:dyDescent="0.3">
      <c r="A165" s="272" t="s">
        <v>192</v>
      </c>
      <c r="B165" s="100"/>
      <c r="C165" s="303">
        <f>D165*C147</f>
        <v>82.843487999999994</v>
      </c>
      <c r="D165" s="416">
        <f>0.04*B163</f>
        <v>6.8015999999999993E-2</v>
      </c>
      <c r="E165" s="422">
        <v>0</v>
      </c>
      <c r="F165" s="420">
        <v>0.7</v>
      </c>
      <c r="G165" s="282">
        <f>100%-F165</f>
        <v>0.30000000000000004</v>
      </c>
      <c r="H165" s="291">
        <f>C165*F165</f>
        <v>57.99044159999999</v>
      </c>
      <c r="I165" s="293">
        <f t="shared" si="13"/>
        <v>0.15833918651427109</v>
      </c>
      <c r="J165" s="291">
        <f>C165*G165</f>
        <v>24.8530464</v>
      </c>
      <c r="K165" s="293">
        <f t="shared" si="14"/>
        <v>2.9082707727111023E-2</v>
      </c>
    </row>
    <row r="166" spans="1:11" s="262" customFormat="1" thickBot="1" x14ac:dyDescent="0.3">
      <c r="A166" s="273" t="s">
        <v>193</v>
      </c>
      <c r="B166" s="266">
        <v>5.8999999999999997E-2</v>
      </c>
      <c r="C166" s="302">
        <f>D166*C147</f>
        <v>20.710871999999998</v>
      </c>
      <c r="D166" s="417">
        <f>0.01*B163</f>
        <v>1.7003999999999998E-2</v>
      </c>
      <c r="E166" s="422">
        <v>0</v>
      </c>
      <c r="F166" s="420">
        <f>$F$148+70%</f>
        <v>0.96286222222222229</v>
      </c>
      <c r="G166" s="282">
        <f>100%-F166</f>
        <v>3.7137777777777714E-2</v>
      </c>
      <c r="H166" s="291">
        <f>C166*F166</f>
        <v>19.941716238080001</v>
      </c>
      <c r="I166" s="294">
        <f t="shared" si="13"/>
        <v>5.4449578925710722E-2</v>
      </c>
      <c r="J166" s="291">
        <f>C166*G166</f>
        <v>0.76915576191999857</v>
      </c>
      <c r="K166" s="293">
        <f t="shared" si="14"/>
        <v>9.0005594728792321E-4</v>
      </c>
    </row>
    <row r="167" spans="1:11" s="262" customFormat="1" thickBot="1" x14ac:dyDescent="0.3">
      <c r="A167" s="272" t="s">
        <v>194</v>
      </c>
      <c r="B167" s="100"/>
      <c r="C167" s="303">
        <f>C168+C169</f>
        <v>1967.5328399999996</v>
      </c>
      <c r="D167" s="416">
        <f>C167/C147</f>
        <v>1.6153799999999996</v>
      </c>
      <c r="E167" s="422">
        <v>0</v>
      </c>
      <c r="F167" s="419">
        <f>(H167/C167)</f>
        <v>0.7158809824561404</v>
      </c>
      <c r="G167" s="282">
        <f>J167/C167</f>
        <v>0.28411901754385965</v>
      </c>
      <c r="H167" s="291">
        <f>H168+H169</f>
        <v>1408.5193425139198</v>
      </c>
      <c r="I167" s="293">
        <f t="shared" si="13"/>
        <v>3.8458718493923327</v>
      </c>
      <c r="J167" s="291">
        <f>J168+J169</f>
        <v>559.01349748607993</v>
      </c>
      <c r="K167" s="293">
        <f t="shared" si="14"/>
        <v>0.65415023579957488</v>
      </c>
    </row>
    <row r="168" spans="1:11" s="262" customFormat="1" thickBot="1" x14ac:dyDescent="0.3">
      <c r="A168" s="273" t="s">
        <v>195</v>
      </c>
      <c r="B168" s="100"/>
      <c r="C168" s="302">
        <f>D168*C147</f>
        <v>1470.4719119999997</v>
      </c>
      <c r="D168" s="417">
        <f>0.71*B163</f>
        <v>1.2072839999999998</v>
      </c>
      <c r="E168" s="422">
        <v>0</v>
      </c>
      <c r="F168" s="420">
        <v>0.7</v>
      </c>
      <c r="G168" s="282">
        <f>100%-F168</f>
        <v>0.30000000000000004</v>
      </c>
      <c r="H168" s="291">
        <f>C168*F168</f>
        <v>1029.3303383999998</v>
      </c>
      <c r="I168" s="293">
        <f t="shared" si="13"/>
        <v>2.8105205606283121</v>
      </c>
      <c r="J168" s="291">
        <f>C168*G168</f>
        <v>441.14157360000002</v>
      </c>
      <c r="K168" s="293">
        <f t="shared" si="14"/>
        <v>0.51621806215622068</v>
      </c>
    </row>
    <row r="169" spans="1:11" s="262" customFormat="1" thickBot="1" x14ac:dyDescent="0.3">
      <c r="A169" s="272" t="s">
        <v>196</v>
      </c>
      <c r="B169" s="100"/>
      <c r="C169" s="302">
        <f>D169*C147</f>
        <v>497.06092799999993</v>
      </c>
      <c r="D169" s="417">
        <f>0.24*B163</f>
        <v>0.40809599999999996</v>
      </c>
      <c r="E169" s="422">
        <v>0</v>
      </c>
      <c r="F169" s="420">
        <f>$F$148+50%</f>
        <v>0.76286222222222233</v>
      </c>
      <c r="G169" s="282">
        <f>100%-F169</f>
        <v>0.23713777777777767</v>
      </c>
      <c r="H169" s="291">
        <f>C169*F169</f>
        <v>379.18900411392002</v>
      </c>
      <c r="I169" s="293">
        <f t="shared" si="13"/>
        <v>1.035351288764021</v>
      </c>
      <c r="J169" s="291">
        <f>C169*G169</f>
        <v>117.87192388607993</v>
      </c>
      <c r="K169" s="293">
        <f t="shared" si="14"/>
        <v>0.13793217364335419</v>
      </c>
    </row>
    <row r="170" spans="1:11" s="262" customFormat="1" ht="21.3" thickBot="1" x14ac:dyDescent="0.4">
      <c r="A170" s="273" t="s">
        <v>197</v>
      </c>
      <c r="B170" s="295">
        <v>4.5</v>
      </c>
      <c r="C170" s="303">
        <f>C171</f>
        <v>5481</v>
      </c>
      <c r="D170" s="415">
        <f>C170/C147</f>
        <v>4.5</v>
      </c>
      <c r="E170" s="422">
        <v>0</v>
      </c>
      <c r="F170" s="419">
        <f>(H170/C170)</f>
        <v>0.26806151111111115</v>
      </c>
      <c r="G170" s="282">
        <f>J170/C170</f>
        <v>0.73193848888888879</v>
      </c>
      <c r="H170" s="291">
        <f>H171</f>
        <v>1469.2451424000003</v>
      </c>
      <c r="I170" s="293">
        <f t="shared" si="13"/>
        <v>4.0116797565076734</v>
      </c>
      <c r="J170" s="291">
        <f>J171</f>
        <v>4011.7548575999995</v>
      </c>
      <c r="K170" s="293">
        <f t="shared" si="14"/>
        <v>4.6945027228693652</v>
      </c>
    </row>
    <row r="171" spans="1:11" s="262" customFormat="1" thickBot="1" x14ac:dyDescent="0.3">
      <c r="A171" s="272" t="s">
        <v>198</v>
      </c>
      <c r="C171" s="303">
        <f>C172+C173</f>
        <v>5481</v>
      </c>
      <c r="D171" s="416">
        <f>C171/C147</f>
        <v>4.5</v>
      </c>
      <c r="E171" s="422">
        <v>0</v>
      </c>
      <c r="F171" s="419">
        <f>(H171/C171)</f>
        <v>0.26806151111111115</v>
      </c>
      <c r="G171" s="282">
        <f>J171/C171</f>
        <v>0.73193848888888879</v>
      </c>
      <c r="H171" s="291">
        <f>H172+H173</f>
        <v>1469.2451424000003</v>
      </c>
      <c r="I171" s="293">
        <f t="shared" si="13"/>
        <v>4.0116797565076734</v>
      </c>
      <c r="J171" s="291">
        <f>J172+J173</f>
        <v>4011.7548575999995</v>
      </c>
      <c r="K171" s="293">
        <f t="shared" si="14"/>
        <v>4.6945027228693652</v>
      </c>
    </row>
    <row r="172" spans="1:11" s="262" customFormat="1" thickBot="1" x14ac:dyDescent="0.3">
      <c r="A172" s="273" t="s">
        <v>199</v>
      </c>
      <c r="B172" s="100"/>
      <c r="C172" s="303">
        <f>D172*C147</f>
        <v>767.34000000000015</v>
      </c>
      <c r="D172" s="416">
        <f>0.14*B170</f>
        <v>0.63000000000000012</v>
      </c>
      <c r="E172" s="422">
        <v>0</v>
      </c>
      <c r="F172" s="420">
        <v>0.3</v>
      </c>
      <c r="G172" s="282">
        <f>100%-F172</f>
        <v>0.7</v>
      </c>
      <c r="H172" s="291">
        <f>C172*F172</f>
        <v>230.20200000000003</v>
      </c>
      <c r="I172" s="293">
        <f t="shared" si="13"/>
        <v>0.6285518166145202</v>
      </c>
      <c r="J172" s="291">
        <f>C172*G172</f>
        <v>537.13800000000003</v>
      </c>
      <c r="K172" s="293">
        <f t="shared" si="14"/>
        <v>0.6285518166145202</v>
      </c>
    </row>
    <row r="173" spans="1:11" s="262" customFormat="1" thickBot="1" x14ac:dyDescent="0.3">
      <c r="A173" s="272" t="s">
        <v>200</v>
      </c>
      <c r="B173" s="100"/>
      <c r="C173" s="302">
        <f>D173*C147</f>
        <v>4713.66</v>
      </c>
      <c r="D173" s="417">
        <f>0.86*B170</f>
        <v>3.87</v>
      </c>
      <c r="E173" s="423">
        <v>0</v>
      </c>
      <c r="F173" s="420">
        <f>$F$148</f>
        <v>0.26286222222222227</v>
      </c>
      <c r="G173" s="282">
        <f>100%-F173</f>
        <v>0.73713777777777767</v>
      </c>
      <c r="H173" s="291">
        <f>C173*F173</f>
        <v>1239.0431424000003</v>
      </c>
      <c r="I173" s="293">
        <f t="shared" si="13"/>
        <v>3.3831279398931535</v>
      </c>
      <c r="J173" s="291">
        <f>C173*G173</f>
        <v>3474.6168575999995</v>
      </c>
      <c r="K173" s="293">
        <f t="shared" si="14"/>
        <v>4.0659509062548453</v>
      </c>
    </row>
    <row r="174" spans="1:11" ht="14.4" x14ac:dyDescent="0.25">
      <c r="A174" s="90"/>
      <c r="B174" s="90"/>
      <c r="C174" s="90"/>
      <c r="D174" s="90"/>
      <c r="E174" s="90"/>
      <c r="F174" s="90"/>
      <c r="G174" s="90"/>
      <c r="H174" s="108"/>
      <c r="I174" s="108"/>
      <c r="J174" s="108"/>
      <c r="K174" s="108"/>
    </row>
    <row r="175" spans="1:11" s="304" customFormat="1" ht="15.05" thickBot="1" x14ac:dyDescent="0.3">
      <c r="A175" s="323"/>
      <c r="B175" s="323"/>
      <c r="C175" s="323"/>
      <c r="D175" s="323"/>
      <c r="E175" s="323"/>
      <c r="F175" s="323"/>
      <c r="G175" s="323"/>
    </row>
    <row r="176" spans="1:11" ht="15.05" x14ac:dyDescent="0.3">
      <c r="A176" s="262"/>
      <c r="B176" s="108"/>
      <c r="C176" s="277"/>
      <c r="D176" s="277"/>
      <c r="G176" s="108"/>
      <c r="H176" s="108"/>
      <c r="J176" s="108"/>
    </row>
  </sheetData>
  <mergeCells count="8">
    <mergeCell ref="H1:I1"/>
    <mergeCell ref="J1:K1"/>
    <mergeCell ref="E34:F34"/>
    <mergeCell ref="E142:F142"/>
    <mergeCell ref="E70:F70"/>
    <mergeCell ref="E106:F106"/>
    <mergeCell ref="C1:D1"/>
    <mergeCell ref="F1:G1"/>
  </mergeCells>
  <conditionalFormatting sqref="I6">
    <cfRule type="cellIs" dxfId="39" priority="73" operator="notBetween">
      <formula>204</formula>
      <formula>360</formula>
    </cfRule>
  </conditionalFormatting>
  <conditionalFormatting sqref="I10">
    <cfRule type="cellIs" dxfId="38" priority="71" operator="notBetween">
      <formula>116</formula>
      <formula>286</formula>
    </cfRule>
  </conditionalFormatting>
  <conditionalFormatting sqref="I13">
    <cfRule type="cellIs" dxfId="37" priority="70" operator="notBetween">
      <formula>15.1</formula>
      <formula>5.9</formula>
    </cfRule>
  </conditionalFormatting>
  <conditionalFormatting sqref="I16">
    <cfRule type="cellIs" dxfId="36" priority="69" operator="notBetween">
      <formula>5.6</formula>
      <formula>1</formula>
    </cfRule>
  </conditionalFormatting>
  <conditionalFormatting sqref="I20">
    <cfRule type="cellIs" dxfId="35" priority="68" operator="notBetween">
      <formula>9.9</formula>
      <formula>3.3</formula>
    </cfRule>
  </conditionalFormatting>
  <conditionalFormatting sqref="I27">
    <cfRule type="cellIs" dxfId="34" priority="67" operator="notBetween">
      <formula>5.3</formula>
      <formula>2.1</formula>
    </cfRule>
  </conditionalFormatting>
  <conditionalFormatting sqref="I41">
    <cfRule type="cellIs" dxfId="33" priority="24" operator="notBetween">
      <formula>204</formula>
      <formula>360</formula>
    </cfRule>
  </conditionalFormatting>
  <conditionalFormatting sqref="I45">
    <cfRule type="cellIs" dxfId="32" priority="23" operator="notBetween">
      <formula>116</formula>
      <formula>286</formula>
    </cfRule>
  </conditionalFormatting>
  <conditionalFormatting sqref="I48">
    <cfRule type="cellIs" dxfId="31" priority="22" operator="notBetween">
      <formula>15.1</formula>
      <formula>5.9</formula>
    </cfRule>
  </conditionalFormatting>
  <conditionalFormatting sqref="I51">
    <cfRule type="cellIs" dxfId="30" priority="21" operator="notBetween">
      <formula>5.6</formula>
      <formula>1</formula>
    </cfRule>
  </conditionalFormatting>
  <conditionalFormatting sqref="I55">
    <cfRule type="cellIs" dxfId="29" priority="20" operator="notBetween">
      <formula>9.9</formula>
      <formula>3.3</formula>
    </cfRule>
  </conditionalFormatting>
  <conditionalFormatting sqref="I62">
    <cfRule type="cellIs" dxfId="28" priority="19" operator="notBetween">
      <formula>5.3</formula>
      <formula>2.1</formula>
    </cfRule>
  </conditionalFormatting>
  <conditionalFormatting sqref="I98">
    <cfRule type="cellIs" dxfId="27" priority="13" operator="notBetween">
      <formula>5.3</formula>
      <formula>2.1</formula>
    </cfRule>
  </conditionalFormatting>
  <conditionalFormatting sqref="I134">
    <cfRule type="cellIs" dxfId="26" priority="7" operator="notBetween">
      <formula>5.3</formula>
      <formula>2.1</formula>
    </cfRule>
  </conditionalFormatting>
  <conditionalFormatting sqref="I77">
    <cfRule type="cellIs" dxfId="25" priority="18" operator="notBetween">
      <formula>204</formula>
      <formula>360</formula>
    </cfRule>
  </conditionalFormatting>
  <conditionalFormatting sqref="I81">
    <cfRule type="cellIs" dxfId="24" priority="17" operator="notBetween">
      <formula>116</formula>
      <formula>286</formula>
    </cfRule>
  </conditionalFormatting>
  <conditionalFormatting sqref="I84">
    <cfRule type="cellIs" dxfId="23" priority="16" operator="notBetween">
      <formula>15.1</formula>
      <formula>5.9</formula>
    </cfRule>
  </conditionalFormatting>
  <conditionalFormatting sqref="I87">
    <cfRule type="cellIs" dxfId="22" priority="15" operator="notBetween">
      <formula>5.6</formula>
      <formula>1</formula>
    </cfRule>
  </conditionalFormatting>
  <conditionalFormatting sqref="I91">
    <cfRule type="cellIs" dxfId="21" priority="14" operator="notBetween">
      <formula>9.9</formula>
      <formula>3.3</formula>
    </cfRule>
  </conditionalFormatting>
  <conditionalFormatting sqref="I113">
    <cfRule type="cellIs" dxfId="20" priority="12" operator="notBetween">
      <formula>204</formula>
      <formula>360</formula>
    </cfRule>
  </conditionalFormatting>
  <conditionalFormatting sqref="I117">
    <cfRule type="cellIs" dxfId="19" priority="11" operator="notBetween">
      <formula>116</formula>
      <formula>286</formula>
    </cfRule>
  </conditionalFormatting>
  <conditionalFormatting sqref="I120">
    <cfRule type="cellIs" dxfId="18" priority="10" operator="notBetween">
      <formula>15.1</formula>
      <formula>5.9</formula>
    </cfRule>
  </conditionalFormatting>
  <conditionalFormatting sqref="I123">
    <cfRule type="cellIs" dxfId="17" priority="9" operator="notBetween">
      <formula>5.6</formula>
      <formula>1</formula>
    </cfRule>
  </conditionalFormatting>
  <conditionalFormatting sqref="I127">
    <cfRule type="cellIs" dxfId="16" priority="8" operator="notBetween">
      <formula>9.9</formula>
      <formula>3.3</formula>
    </cfRule>
  </conditionalFormatting>
  <conditionalFormatting sqref="I170">
    <cfRule type="cellIs" dxfId="15" priority="1" operator="notBetween">
      <formula>5.3</formula>
      <formula>2.1</formula>
    </cfRule>
  </conditionalFormatting>
  <conditionalFormatting sqref="I149">
    <cfRule type="cellIs" dxfId="14" priority="6" operator="notBetween">
      <formula>204</formula>
      <formula>360</formula>
    </cfRule>
  </conditionalFormatting>
  <conditionalFormatting sqref="I153">
    <cfRule type="cellIs" dxfId="13" priority="5" operator="notBetween">
      <formula>116</formula>
      <formula>286</formula>
    </cfRule>
  </conditionalFormatting>
  <conditionalFormatting sqref="I156">
    <cfRule type="cellIs" dxfId="12" priority="4" operator="notBetween">
      <formula>15.1</formula>
      <formula>5.9</formula>
    </cfRule>
  </conditionalFormatting>
  <conditionalFormatting sqref="I159">
    <cfRule type="cellIs" dxfId="11" priority="3" operator="notBetween">
      <formula>5.6</formula>
      <formula>1</formula>
    </cfRule>
  </conditionalFormatting>
  <conditionalFormatting sqref="I163">
    <cfRule type="cellIs" dxfId="10" priority="2" operator="notBetween">
      <formula>9.9</formula>
      <formula>3.3</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29338-B835-4A12-AB42-4E7F7448CDE6}">
  <dimension ref="A1:P68"/>
  <sheetViews>
    <sheetView zoomScale="60" zoomScaleNormal="60" workbookViewId="0">
      <pane xSplit="1" ySplit="3" topLeftCell="B23" activePane="bottomRight" state="frozen"/>
      <selection pane="topRight" activeCell="C1" sqref="C1"/>
      <selection pane="bottomLeft" activeCell="A4" sqref="A4"/>
      <selection pane="bottomRight" activeCell="F40" sqref="F40"/>
    </sheetView>
  </sheetViews>
  <sheetFormatPr defaultColWidth="10.796875" defaultRowHeight="15.05" x14ac:dyDescent="0.3"/>
  <cols>
    <col min="1" max="1" width="32.19921875" style="93" customWidth="1"/>
    <col min="2" max="2" width="27.8984375" style="113" bestFit="1" customWidth="1"/>
    <col min="3" max="3" width="24.796875" style="88" customWidth="1"/>
    <col min="4" max="4" width="26" style="88" customWidth="1"/>
    <col min="5" max="5" width="24.8984375" style="88" bestFit="1" customWidth="1"/>
    <col min="6" max="6" width="37.3984375" style="88" customWidth="1"/>
    <col min="7" max="7" width="34.296875" style="113" customWidth="1"/>
    <col min="8" max="8" width="22.796875" style="113" customWidth="1"/>
    <col min="9" max="9" width="22.3984375" style="101" customWidth="1"/>
    <col min="10" max="10" width="28.19921875" style="113" customWidth="1"/>
    <col min="11" max="11" width="21.3984375" style="101" customWidth="1"/>
    <col min="12" max="12" width="10.296875" style="324" customWidth="1"/>
    <col min="13" max="13" width="10.796875" style="324"/>
    <col min="14" max="14" width="6.19921875" style="324" customWidth="1"/>
    <col min="16" max="16" width="4.5" style="113" customWidth="1"/>
    <col min="17" max="17" width="12.296875" style="113" bestFit="1" customWidth="1"/>
    <col min="18" max="19" width="10.796875" style="113"/>
    <col min="20" max="20" width="11.5" style="113" bestFit="1" customWidth="1"/>
    <col min="21" max="21" width="9" style="113" customWidth="1"/>
    <col min="22" max="22" width="10.19921875" style="113" customWidth="1"/>
    <col min="23" max="23" width="8.19921875" style="113" customWidth="1"/>
    <col min="24" max="24" width="7.19921875" style="113" customWidth="1"/>
    <col min="25" max="25" width="10.19921875" style="113" customWidth="1"/>
    <col min="26" max="26" width="11.5" style="113" customWidth="1"/>
    <col min="27" max="27" width="10.796875" style="113"/>
    <col min="28" max="28" width="9.296875" style="113" customWidth="1"/>
    <col min="29" max="16384" width="10.796875" style="113"/>
  </cols>
  <sheetData>
    <row r="1" spans="1:12" s="262" customFormat="1" ht="28.2" thickBot="1" x14ac:dyDescent="0.5">
      <c r="A1" s="271"/>
      <c r="B1" s="295" t="s">
        <v>359</v>
      </c>
      <c r="C1" s="496" t="s">
        <v>363</v>
      </c>
      <c r="D1" s="497"/>
      <c r="E1" s="279"/>
      <c r="F1" s="498" t="s">
        <v>108</v>
      </c>
      <c r="G1" s="499"/>
      <c r="H1" s="500" t="s">
        <v>49</v>
      </c>
      <c r="I1" s="500"/>
      <c r="J1" s="500" t="s">
        <v>64</v>
      </c>
      <c r="K1" s="500"/>
    </row>
    <row r="2" spans="1:12" s="262" customFormat="1" ht="50.75" thickBot="1" x14ac:dyDescent="0.45">
      <c r="A2" s="271"/>
      <c r="B2" s="316" t="s">
        <v>368</v>
      </c>
      <c r="C2" s="321" t="s">
        <v>171</v>
      </c>
      <c r="D2" s="319" t="s">
        <v>360</v>
      </c>
      <c r="E2" s="317" t="s">
        <v>364</v>
      </c>
      <c r="F2" s="268" t="s">
        <v>366</v>
      </c>
      <c r="G2" s="268" t="s">
        <v>362</v>
      </c>
      <c r="H2" s="289" t="s">
        <v>1</v>
      </c>
      <c r="I2" s="290" t="s">
        <v>113</v>
      </c>
      <c r="J2" s="289" t="s">
        <v>1</v>
      </c>
      <c r="K2" s="290" t="s">
        <v>113</v>
      </c>
      <c r="L2" s="289"/>
    </row>
    <row r="3" spans="1:12" s="262" customFormat="1" ht="18.2" thickBot="1" x14ac:dyDescent="0.35">
      <c r="A3" s="271"/>
      <c r="B3" s="95"/>
      <c r="C3" s="322"/>
      <c r="D3" s="320" t="s">
        <v>130</v>
      </c>
      <c r="E3" s="279"/>
      <c r="I3" s="276" t="s">
        <v>130</v>
      </c>
      <c r="K3" s="276" t="s">
        <v>130</v>
      </c>
    </row>
    <row r="4" spans="1:12" s="262" customFormat="1" ht="21.3" thickBot="1" x14ac:dyDescent="0.4">
      <c r="A4" s="272" t="s">
        <v>361</v>
      </c>
      <c r="B4" s="295">
        <v>40000</v>
      </c>
      <c r="C4" s="280">
        <f>B4</f>
        <v>40000</v>
      </c>
      <c r="D4" s="280"/>
      <c r="E4" s="318" t="s">
        <v>174</v>
      </c>
      <c r="F4" s="281">
        <v>0.3</v>
      </c>
      <c r="G4" s="282">
        <f t="shared" ref="G4" si="0">100%-F4</f>
        <v>0.7</v>
      </c>
      <c r="H4" s="291">
        <f>C4*F4</f>
        <v>12000</v>
      </c>
      <c r="I4" s="292"/>
      <c r="J4" s="291">
        <f>C4*G4</f>
        <v>28000</v>
      </c>
      <c r="K4" s="292"/>
    </row>
    <row r="5" spans="1:12" s="262" customFormat="1" ht="17.55" thickBot="1" x14ac:dyDescent="0.3">
      <c r="A5" s="273" t="s">
        <v>175</v>
      </c>
      <c r="C5" s="283">
        <f>(C4*1000)-C6</f>
        <v>36000000</v>
      </c>
      <c r="D5" s="300">
        <f>C5/C4</f>
        <v>900</v>
      </c>
      <c r="E5" s="328"/>
      <c r="F5" s="284">
        <f>(H5/C5)</f>
        <v>0.27</v>
      </c>
      <c r="G5" s="282">
        <f>100%-F5</f>
        <v>0.73</v>
      </c>
      <c r="H5" s="291">
        <f>(H4*1000)-H6</f>
        <v>9720000</v>
      </c>
      <c r="I5" s="293">
        <f t="shared" ref="I5:I30" si="1">H5/$H$4</f>
        <v>810</v>
      </c>
      <c r="J5" s="291">
        <f>(J4*1000)-J6</f>
        <v>26280000</v>
      </c>
      <c r="K5" s="293">
        <f t="shared" ref="K5:K30" si="2">J5/$J$4</f>
        <v>938.57142857142856</v>
      </c>
    </row>
    <row r="6" spans="1:12" s="262" customFormat="1" ht="21.3" thickBot="1" x14ac:dyDescent="0.4">
      <c r="A6" s="272" t="s">
        <v>176</v>
      </c>
      <c r="B6" s="295">
        <v>100</v>
      </c>
      <c r="C6" s="280">
        <f>C7+C10</f>
        <v>4000000</v>
      </c>
      <c r="D6" s="301">
        <f>C6/C4</f>
        <v>100</v>
      </c>
      <c r="E6" s="328"/>
      <c r="F6" s="284">
        <f>(H6/C6)</f>
        <v>0.56999999999999995</v>
      </c>
      <c r="G6" s="282">
        <f>J6/C6</f>
        <v>0.43</v>
      </c>
      <c r="H6" s="291">
        <f>H7+H10</f>
        <v>2280000</v>
      </c>
      <c r="I6" s="293">
        <f t="shared" si="1"/>
        <v>190</v>
      </c>
      <c r="J6" s="291">
        <f>J7+J10</f>
        <v>1720000</v>
      </c>
      <c r="K6" s="293">
        <f t="shared" si="2"/>
        <v>61.428571428571431</v>
      </c>
    </row>
    <row r="7" spans="1:12" s="262" customFormat="1" ht="17.55" thickBot="1" x14ac:dyDescent="0.3">
      <c r="A7" s="273" t="s">
        <v>177</v>
      </c>
      <c r="B7" s="265">
        <f>B6-B10</f>
        <v>40</v>
      </c>
      <c r="C7" s="303">
        <f>C8+C9</f>
        <v>1600000</v>
      </c>
      <c r="D7" s="297">
        <f>C7/C4</f>
        <v>40</v>
      </c>
      <c r="E7" s="328"/>
      <c r="F7" s="284">
        <f>(H7/C7)</f>
        <v>0.4</v>
      </c>
      <c r="G7" s="282">
        <f>J7/C7</f>
        <v>0.6</v>
      </c>
      <c r="H7" s="291">
        <f>H8+H9</f>
        <v>640000</v>
      </c>
      <c r="I7" s="293">
        <f t="shared" si="1"/>
        <v>53.333333333333336</v>
      </c>
      <c r="J7" s="291">
        <f>J8+J9</f>
        <v>960000</v>
      </c>
      <c r="K7" s="293">
        <f t="shared" si="2"/>
        <v>34.285714285714285</v>
      </c>
    </row>
    <row r="8" spans="1:12" s="262" customFormat="1" ht="17.55" thickBot="1" x14ac:dyDescent="0.3">
      <c r="A8" s="272" t="s">
        <v>178</v>
      </c>
      <c r="C8" s="302">
        <f>D8*C4</f>
        <v>800000</v>
      </c>
      <c r="D8" s="300">
        <f>1/2*B7</f>
        <v>20</v>
      </c>
      <c r="E8" s="328"/>
      <c r="F8" s="281">
        <v>0.7</v>
      </c>
      <c r="G8" s="282">
        <f t="shared" ref="G8:G30" si="3">100%-F8</f>
        <v>0.30000000000000004</v>
      </c>
      <c r="H8" s="291">
        <f>C8*F8</f>
        <v>560000</v>
      </c>
      <c r="I8" s="293">
        <f t="shared" si="1"/>
        <v>46.666666666666664</v>
      </c>
      <c r="J8" s="291">
        <f>C8*G8</f>
        <v>240000.00000000003</v>
      </c>
      <c r="K8" s="293">
        <f t="shared" si="2"/>
        <v>8.571428571428573</v>
      </c>
    </row>
    <row r="9" spans="1:12" s="262" customFormat="1" ht="17.55" thickBot="1" x14ac:dyDescent="0.3">
      <c r="A9" s="273" t="s">
        <v>179</v>
      </c>
      <c r="C9" s="302">
        <f>D9*C4</f>
        <v>800000</v>
      </c>
      <c r="D9" s="300">
        <f>1/2*B7</f>
        <v>20</v>
      </c>
      <c r="E9" s="328"/>
      <c r="F9" s="281">
        <v>0.1</v>
      </c>
      <c r="G9" s="282">
        <f t="shared" si="3"/>
        <v>0.9</v>
      </c>
      <c r="H9" s="291">
        <f>C9*F9</f>
        <v>80000</v>
      </c>
      <c r="I9" s="293">
        <f t="shared" si="1"/>
        <v>6.666666666666667</v>
      </c>
      <c r="J9" s="291">
        <f>C9*G9</f>
        <v>720000</v>
      </c>
      <c r="K9" s="293">
        <f t="shared" si="2"/>
        <v>25.714285714285715</v>
      </c>
    </row>
    <row r="10" spans="1:12" s="262" customFormat="1" ht="21.3" thickBot="1" x14ac:dyDescent="0.4">
      <c r="A10" s="272" t="s">
        <v>180</v>
      </c>
      <c r="B10" s="295">
        <f>0.6*B6</f>
        <v>60</v>
      </c>
      <c r="C10" s="303">
        <f>C11+C12</f>
        <v>2400000</v>
      </c>
      <c r="D10" s="301">
        <f>C10/C4</f>
        <v>60</v>
      </c>
      <c r="E10" s="328"/>
      <c r="F10" s="284">
        <f>(H10/C10)</f>
        <v>0.68333333333333335</v>
      </c>
      <c r="G10" s="282">
        <f>J10/C10</f>
        <v>0.3166666666666666</v>
      </c>
      <c r="H10" s="291">
        <f>H11+H12</f>
        <v>1640000</v>
      </c>
      <c r="I10" s="293">
        <f t="shared" si="1"/>
        <v>136.66666666666666</v>
      </c>
      <c r="J10" s="291">
        <f>J11+J12</f>
        <v>759999.99999999988</v>
      </c>
      <c r="K10" s="293">
        <f t="shared" si="2"/>
        <v>27.142857142857139</v>
      </c>
    </row>
    <row r="11" spans="1:12" s="262" customFormat="1" ht="17.55" thickBot="1" x14ac:dyDescent="0.3">
      <c r="A11" s="273" t="s">
        <v>181</v>
      </c>
      <c r="C11" s="302">
        <f>D11*C4</f>
        <v>2000000</v>
      </c>
      <c r="D11" s="300">
        <f>5/6*B10</f>
        <v>50</v>
      </c>
      <c r="E11" s="328"/>
      <c r="F11" s="281">
        <v>0.8</v>
      </c>
      <c r="G11" s="282">
        <f t="shared" si="3"/>
        <v>0.19999999999999996</v>
      </c>
      <c r="H11" s="291">
        <f>C11*F11</f>
        <v>1600000</v>
      </c>
      <c r="I11" s="293">
        <f t="shared" si="1"/>
        <v>133.33333333333334</v>
      </c>
      <c r="J11" s="291">
        <f>C11*G11</f>
        <v>399999.99999999988</v>
      </c>
      <c r="K11" s="293">
        <f t="shared" si="2"/>
        <v>14.285714285714281</v>
      </c>
    </row>
    <row r="12" spans="1:12" s="262" customFormat="1" ht="17.55" thickBot="1" x14ac:dyDescent="0.3">
      <c r="A12" s="272" t="s">
        <v>182</v>
      </c>
      <c r="C12" s="302">
        <f>D12*C4</f>
        <v>400000</v>
      </c>
      <c r="D12" s="300">
        <f>1/6*B10</f>
        <v>10</v>
      </c>
      <c r="E12" s="328"/>
      <c r="F12" s="281">
        <v>0.1</v>
      </c>
      <c r="G12" s="282">
        <f t="shared" si="3"/>
        <v>0.9</v>
      </c>
      <c r="H12" s="291">
        <f>C12*F12</f>
        <v>40000</v>
      </c>
      <c r="I12" s="293">
        <f t="shared" si="1"/>
        <v>3.3333333333333335</v>
      </c>
      <c r="J12" s="291">
        <f>C12*G12</f>
        <v>360000</v>
      </c>
      <c r="K12" s="293">
        <f t="shared" si="2"/>
        <v>12.857142857142858</v>
      </c>
    </row>
    <row r="13" spans="1:12" s="262" customFormat="1" ht="21.3" thickBot="1" x14ac:dyDescent="0.4">
      <c r="A13" s="273" t="s">
        <v>183</v>
      </c>
      <c r="B13" s="295">
        <v>6.7</v>
      </c>
      <c r="C13" s="303">
        <f>C14+C17</f>
        <v>268000</v>
      </c>
      <c r="D13" s="299">
        <f>C13/C4</f>
        <v>6.7</v>
      </c>
      <c r="E13" s="328"/>
      <c r="F13" s="284">
        <f>(H13/C13)</f>
        <v>0.34546643378850428</v>
      </c>
      <c r="G13" s="282">
        <f>J13/C13</f>
        <v>0.65453356621149572</v>
      </c>
      <c r="H13" s="291">
        <f>H14+H17</f>
        <v>92585.004255319145</v>
      </c>
      <c r="I13" s="293">
        <f t="shared" si="1"/>
        <v>7.7154170212765951</v>
      </c>
      <c r="J13" s="291">
        <f>J14+J17</f>
        <v>175414.99574468084</v>
      </c>
      <c r="K13" s="293">
        <f t="shared" si="2"/>
        <v>6.2648212765957441</v>
      </c>
    </row>
    <row r="14" spans="1:12" s="262" customFormat="1" ht="17.55" thickBot="1" x14ac:dyDescent="0.3">
      <c r="A14" s="272" t="s">
        <v>184</v>
      </c>
      <c r="B14" s="265">
        <f>D16/0.94</f>
        <v>3.9361702127659579</v>
      </c>
      <c r="C14" s="303">
        <f>C15+C16</f>
        <v>157446.80851063831</v>
      </c>
      <c r="D14" s="296">
        <f>C14/C4</f>
        <v>3.9361702127659579</v>
      </c>
      <c r="E14" s="328"/>
      <c r="F14" s="284">
        <f>(H14/C14)</f>
        <v>0.29580000000000001</v>
      </c>
      <c r="G14" s="282">
        <f>J14/C14</f>
        <v>0.70420000000000005</v>
      </c>
      <c r="H14" s="291">
        <f>H15+H16</f>
        <v>46572.765957446813</v>
      </c>
      <c r="I14" s="293">
        <f t="shared" si="1"/>
        <v>3.8810638297872342</v>
      </c>
      <c r="J14" s="291">
        <f>J15+J16</f>
        <v>110874.0425531915</v>
      </c>
      <c r="K14" s="293">
        <f t="shared" si="2"/>
        <v>3.9597872340425533</v>
      </c>
    </row>
    <row r="15" spans="1:12" s="262" customFormat="1" ht="17.55" thickBot="1" x14ac:dyDescent="0.3">
      <c r="A15" s="273" t="s">
        <v>185</v>
      </c>
      <c r="C15" s="303">
        <f>D15*C4</f>
        <v>9446.8085106383096</v>
      </c>
      <c r="D15" s="296">
        <f>B14-D16</f>
        <v>0.23617021276595773</v>
      </c>
      <c r="E15" s="328"/>
      <c r="F15" s="281">
        <v>0.7</v>
      </c>
      <c r="G15" s="282">
        <f t="shared" si="3"/>
        <v>0.30000000000000004</v>
      </c>
      <c r="H15" s="291">
        <f>C15*F15</f>
        <v>6612.7659574468162</v>
      </c>
      <c r="I15" s="293">
        <f t="shared" si="1"/>
        <v>0.55106382978723467</v>
      </c>
      <c r="J15" s="291">
        <f>C15*G15</f>
        <v>2834.0425531914934</v>
      </c>
      <c r="K15" s="293">
        <f t="shared" si="2"/>
        <v>0.10121580547112477</v>
      </c>
    </row>
    <row r="16" spans="1:12" s="262" customFormat="1" ht="21.3" thickBot="1" x14ac:dyDescent="0.4">
      <c r="A16" s="272" t="s">
        <v>186</v>
      </c>
      <c r="B16" s="295">
        <v>3.7</v>
      </c>
      <c r="C16" s="302">
        <f>D16*C4</f>
        <v>148000</v>
      </c>
      <c r="D16" s="299">
        <f>B16</f>
        <v>3.7</v>
      </c>
      <c r="E16" s="328"/>
      <c r="F16" s="281">
        <f>$F$5</f>
        <v>0.27</v>
      </c>
      <c r="G16" s="282">
        <f t="shared" si="3"/>
        <v>0.73</v>
      </c>
      <c r="H16" s="291">
        <f>C16*F16</f>
        <v>39960</v>
      </c>
      <c r="I16" s="293">
        <f t="shared" si="1"/>
        <v>3.33</v>
      </c>
      <c r="J16" s="291">
        <f>C16*G16</f>
        <v>108040</v>
      </c>
      <c r="K16" s="293">
        <f t="shared" si="2"/>
        <v>3.8585714285714285</v>
      </c>
    </row>
    <row r="17" spans="1:11" s="262" customFormat="1" ht="17.55" thickBot="1" x14ac:dyDescent="0.3">
      <c r="A17" s="273" t="s">
        <v>187</v>
      </c>
      <c r="B17" s="265">
        <f>B13-B14</f>
        <v>2.7638297872340423</v>
      </c>
      <c r="C17" s="303">
        <f>C18+C19</f>
        <v>110553.19148936169</v>
      </c>
      <c r="D17" s="296">
        <f>C17/C4</f>
        <v>2.7638297872340423</v>
      </c>
      <c r="E17" s="328"/>
      <c r="F17" s="284">
        <f>(H17/C17)</f>
        <v>0.41619999999999996</v>
      </c>
      <c r="G17" s="282">
        <f>J17/C17</f>
        <v>0.58379999999999999</v>
      </c>
      <c r="H17" s="291">
        <f>H18+H19</f>
        <v>46012.238297872333</v>
      </c>
      <c r="I17" s="293">
        <f t="shared" si="1"/>
        <v>3.8343531914893609</v>
      </c>
      <c r="J17" s="291">
        <f>J18+J19</f>
        <v>64540.953191489352</v>
      </c>
      <c r="K17" s="293">
        <f t="shared" si="2"/>
        <v>2.3050340425531912</v>
      </c>
    </row>
    <row r="18" spans="1:11" s="262" customFormat="1" ht="17.55" thickBot="1" x14ac:dyDescent="0.3">
      <c r="A18" s="272" t="s">
        <v>188</v>
      </c>
      <c r="C18" s="302">
        <f>D18*C4</f>
        <v>37588.085106382976</v>
      </c>
      <c r="D18" s="298">
        <f>0.34*B17</f>
        <v>0.93970212765957439</v>
      </c>
      <c r="E18" s="328"/>
      <c r="F18" s="281">
        <v>0.7</v>
      </c>
      <c r="G18" s="282">
        <f t="shared" si="3"/>
        <v>0.30000000000000004</v>
      </c>
      <c r="H18" s="291">
        <f>C18*F18</f>
        <v>26311.659574468082</v>
      </c>
      <c r="I18" s="293">
        <f t="shared" si="1"/>
        <v>2.1926382978723402</v>
      </c>
      <c r="J18" s="291">
        <f>C18*G18</f>
        <v>11276.425531914894</v>
      </c>
      <c r="K18" s="293">
        <f t="shared" si="2"/>
        <v>0.40272948328267477</v>
      </c>
    </row>
    <row r="19" spans="1:11" s="262" customFormat="1" ht="17.55" thickBot="1" x14ac:dyDescent="0.3">
      <c r="A19" s="273" t="s">
        <v>189</v>
      </c>
      <c r="C19" s="302">
        <f>D19*C4</f>
        <v>72965.106382978716</v>
      </c>
      <c r="D19" s="298">
        <f>0.66*B17</f>
        <v>1.824127659574468</v>
      </c>
      <c r="E19" s="328"/>
      <c r="F19" s="281">
        <f>$F$5</f>
        <v>0.27</v>
      </c>
      <c r="G19" s="282">
        <f t="shared" si="3"/>
        <v>0.73</v>
      </c>
      <c r="H19" s="291">
        <f>C19*F19</f>
        <v>19700.578723404255</v>
      </c>
      <c r="I19" s="293">
        <f t="shared" si="1"/>
        <v>1.6417148936170212</v>
      </c>
      <c r="J19" s="291">
        <f>C19*G19</f>
        <v>53264.527659574458</v>
      </c>
      <c r="K19" s="293">
        <f t="shared" si="2"/>
        <v>1.9023045592705163</v>
      </c>
    </row>
    <row r="20" spans="1:11" s="262" customFormat="1" ht="21.3" thickBot="1" x14ac:dyDescent="0.4">
      <c r="A20" s="272" t="s">
        <v>190</v>
      </c>
      <c r="B20" s="295">
        <v>1.8</v>
      </c>
      <c r="C20" s="303">
        <f>C21+C24</f>
        <v>72000</v>
      </c>
      <c r="D20" s="299">
        <f>C20/C4</f>
        <v>1.8</v>
      </c>
      <c r="E20" s="328"/>
      <c r="F20" s="284">
        <f>(H20/C20)</f>
        <v>0.51349999999999996</v>
      </c>
      <c r="G20" s="282">
        <f>J20/C20</f>
        <v>0.48649999999999999</v>
      </c>
      <c r="H20" s="291">
        <f>H21+H24</f>
        <v>36972</v>
      </c>
      <c r="I20" s="293">
        <f t="shared" si="1"/>
        <v>3.081</v>
      </c>
      <c r="J20" s="291">
        <f>J21+J24</f>
        <v>35028</v>
      </c>
      <c r="K20" s="293">
        <f t="shared" si="2"/>
        <v>1.2509999999999999</v>
      </c>
    </row>
    <row r="21" spans="1:11" s="262" customFormat="1" ht="17.55" thickBot="1" x14ac:dyDescent="0.3">
      <c r="A21" s="273" t="s">
        <v>191</v>
      </c>
      <c r="C21" s="303">
        <f>C22+C23</f>
        <v>3600.0000000000005</v>
      </c>
      <c r="D21" s="296">
        <f>C21/C4</f>
        <v>9.0000000000000011E-2</v>
      </c>
      <c r="E21" s="328"/>
      <c r="F21" s="284">
        <f>(H21/C21)</f>
        <v>0.45400000000000001</v>
      </c>
      <c r="G21" s="282">
        <f>J21/C21</f>
        <v>0.54600000000000004</v>
      </c>
      <c r="H21" s="291">
        <f>H22+H23</f>
        <v>1634.4000000000003</v>
      </c>
      <c r="I21" s="293">
        <f t="shared" si="1"/>
        <v>0.13620000000000002</v>
      </c>
      <c r="J21" s="291">
        <f>J22+J23</f>
        <v>1965.6000000000004</v>
      </c>
      <c r="K21" s="293">
        <f t="shared" si="2"/>
        <v>7.0200000000000012E-2</v>
      </c>
    </row>
    <row r="22" spans="1:11" s="262" customFormat="1" ht="17.55" thickBot="1" x14ac:dyDescent="0.3">
      <c r="A22" s="272" t="s">
        <v>192</v>
      </c>
      <c r="B22" s="100"/>
      <c r="C22" s="303">
        <f>D22*C4</f>
        <v>2880.0000000000005</v>
      </c>
      <c r="D22" s="296">
        <f>0.04*B20</f>
        <v>7.2000000000000008E-2</v>
      </c>
      <c r="E22" s="328"/>
      <c r="F22" s="281">
        <v>0.5</v>
      </c>
      <c r="G22" s="282">
        <f t="shared" si="3"/>
        <v>0.5</v>
      </c>
      <c r="H22" s="291">
        <f>C22*F22</f>
        <v>1440.0000000000002</v>
      </c>
      <c r="I22" s="293">
        <f t="shared" si="1"/>
        <v>0.12000000000000002</v>
      </c>
      <c r="J22" s="291">
        <f>C22*G22</f>
        <v>1440.0000000000002</v>
      </c>
      <c r="K22" s="293">
        <f t="shared" si="2"/>
        <v>5.1428571428571435E-2</v>
      </c>
    </row>
    <row r="23" spans="1:11" s="262" customFormat="1" ht="17.55" thickBot="1" x14ac:dyDescent="0.3">
      <c r="A23" s="273" t="s">
        <v>193</v>
      </c>
      <c r="B23" s="266">
        <v>5.8999999999999997E-2</v>
      </c>
      <c r="C23" s="302">
        <f>D23*C4</f>
        <v>720.00000000000011</v>
      </c>
      <c r="D23" s="298">
        <f>0.01*B20</f>
        <v>1.8000000000000002E-2</v>
      </c>
      <c r="E23" s="328"/>
      <c r="F23" s="281">
        <f>$F$5</f>
        <v>0.27</v>
      </c>
      <c r="G23" s="282">
        <f t="shared" si="3"/>
        <v>0.73</v>
      </c>
      <c r="H23" s="291">
        <f>C23*F23</f>
        <v>194.40000000000003</v>
      </c>
      <c r="I23" s="294">
        <f t="shared" si="1"/>
        <v>1.6200000000000003E-2</v>
      </c>
      <c r="J23" s="291">
        <f>C23*G23</f>
        <v>525.6</v>
      </c>
      <c r="K23" s="293">
        <f t="shared" si="2"/>
        <v>1.8771428571428571E-2</v>
      </c>
    </row>
    <row r="24" spans="1:11" s="262" customFormat="1" ht="17.55" thickBot="1" x14ac:dyDescent="0.3">
      <c r="A24" s="272" t="s">
        <v>194</v>
      </c>
      <c r="B24" s="100"/>
      <c r="C24" s="303">
        <f>C25+C26</f>
        <v>68400</v>
      </c>
      <c r="D24" s="296">
        <f>C24/C4</f>
        <v>1.71</v>
      </c>
      <c r="E24" s="328"/>
      <c r="F24" s="284">
        <f>(H24/C24)</f>
        <v>0.51663157894736844</v>
      </c>
      <c r="G24" s="282">
        <f>J24/C24</f>
        <v>0.48336842105263161</v>
      </c>
      <c r="H24" s="291">
        <f>H25+H26</f>
        <v>35337.599999999999</v>
      </c>
      <c r="I24" s="293">
        <f t="shared" si="1"/>
        <v>2.9447999999999999</v>
      </c>
      <c r="J24" s="291">
        <f>J25+J26</f>
        <v>33062.400000000001</v>
      </c>
      <c r="K24" s="293">
        <f t="shared" si="2"/>
        <v>1.1808000000000001</v>
      </c>
    </row>
    <row r="25" spans="1:11" s="262" customFormat="1" ht="17.55" thickBot="1" x14ac:dyDescent="0.3">
      <c r="A25" s="273" t="s">
        <v>195</v>
      </c>
      <c r="B25" s="100"/>
      <c r="C25" s="302">
        <f>D25*C4</f>
        <v>51120</v>
      </c>
      <c r="D25" s="298">
        <f>0.71*B20</f>
        <v>1.278</v>
      </c>
      <c r="E25" s="328"/>
      <c r="F25" s="281">
        <v>0.6</v>
      </c>
      <c r="G25" s="282">
        <f t="shared" si="3"/>
        <v>0.4</v>
      </c>
      <c r="H25" s="291">
        <f>C25*F25</f>
        <v>30672</v>
      </c>
      <c r="I25" s="293">
        <f t="shared" si="1"/>
        <v>2.556</v>
      </c>
      <c r="J25" s="291">
        <f>C25*G25</f>
        <v>20448</v>
      </c>
      <c r="K25" s="293">
        <f t="shared" si="2"/>
        <v>0.73028571428571432</v>
      </c>
    </row>
    <row r="26" spans="1:11" s="262" customFormat="1" ht="17.55" thickBot="1" x14ac:dyDescent="0.3">
      <c r="A26" s="272" t="s">
        <v>196</v>
      </c>
      <c r="B26" s="100"/>
      <c r="C26" s="302">
        <f>D26*C4</f>
        <v>17280</v>
      </c>
      <c r="D26" s="298">
        <f>0.24*B20</f>
        <v>0.432</v>
      </c>
      <c r="E26" s="328"/>
      <c r="F26" s="281">
        <f>$F$5</f>
        <v>0.27</v>
      </c>
      <c r="G26" s="282">
        <f t="shared" si="3"/>
        <v>0.73</v>
      </c>
      <c r="H26" s="291">
        <f>C26*F26</f>
        <v>4665.6000000000004</v>
      </c>
      <c r="I26" s="293">
        <f t="shared" si="1"/>
        <v>0.38880000000000003</v>
      </c>
      <c r="J26" s="291">
        <f>C26*G26</f>
        <v>12614.4</v>
      </c>
      <c r="K26" s="293">
        <f t="shared" si="2"/>
        <v>0.4505142857142857</v>
      </c>
    </row>
    <row r="27" spans="1:11" s="262" customFormat="1" ht="21.3" thickBot="1" x14ac:dyDescent="0.4">
      <c r="A27" s="273" t="s">
        <v>197</v>
      </c>
      <c r="B27" s="295">
        <f>6.2*0.83</f>
        <v>5.1459999999999999</v>
      </c>
      <c r="C27" s="303">
        <f>C28</f>
        <v>205840</v>
      </c>
      <c r="D27" s="299">
        <f>C27/C4</f>
        <v>5.1459999999999999</v>
      </c>
      <c r="E27" s="328"/>
      <c r="F27" s="284">
        <f>(H27/C27)</f>
        <v>0.26719999999999999</v>
      </c>
      <c r="G27" s="282">
        <f>J27/C27</f>
        <v>0.73280000000000001</v>
      </c>
      <c r="H27" s="291">
        <f>H28+H31</f>
        <v>55000.448000000004</v>
      </c>
      <c r="I27" s="293">
        <f t="shared" si="1"/>
        <v>4.5833706666666671</v>
      </c>
      <c r="J27" s="291">
        <f>J28+J31</f>
        <v>150839.552</v>
      </c>
      <c r="K27" s="293">
        <f t="shared" si="2"/>
        <v>5.3871268571428574</v>
      </c>
    </row>
    <row r="28" spans="1:11" s="262" customFormat="1" ht="17.55" thickBot="1" x14ac:dyDescent="0.3">
      <c r="A28" s="272" t="s">
        <v>198</v>
      </c>
      <c r="C28" s="303">
        <f>C29+C30</f>
        <v>205840</v>
      </c>
      <c r="D28" s="296">
        <f>C28/C4</f>
        <v>5.1459999999999999</v>
      </c>
      <c r="E28" s="328"/>
      <c r="F28" s="284">
        <f>(H28/C28)</f>
        <v>0.26719999999999999</v>
      </c>
      <c r="G28" s="282">
        <f>J28/C28</f>
        <v>0.73280000000000001</v>
      </c>
      <c r="H28" s="291">
        <f>H29+H30</f>
        <v>55000.448000000004</v>
      </c>
      <c r="I28" s="293">
        <f t="shared" si="1"/>
        <v>4.5833706666666671</v>
      </c>
      <c r="J28" s="291">
        <f>J29+J30</f>
        <v>150839.552</v>
      </c>
      <c r="K28" s="293">
        <f t="shared" si="2"/>
        <v>5.3871268571428574</v>
      </c>
    </row>
    <row r="29" spans="1:11" s="262" customFormat="1" ht="17.55" thickBot="1" x14ac:dyDescent="0.3">
      <c r="A29" s="273" t="s">
        <v>199</v>
      </c>
      <c r="B29" s="100"/>
      <c r="C29" s="303">
        <f>D29*C4</f>
        <v>28817.600000000002</v>
      </c>
      <c r="D29" s="296">
        <f>0.14*B27</f>
        <v>0.72044000000000008</v>
      </c>
      <c r="E29" s="328"/>
      <c r="F29" s="281">
        <v>0.25</v>
      </c>
      <c r="G29" s="282">
        <f t="shared" si="3"/>
        <v>0.75</v>
      </c>
      <c r="H29" s="291">
        <f>C29*F29</f>
        <v>7204.4000000000005</v>
      </c>
      <c r="I29" s="293">
        <f t="shared" si="1"/>
        <v>0.60036666666666672</v>
      </c>
      <c r="J29" s="291">
        <f>C29*G29</f>
        <v>21613.200000000001</v>
      </c>
      <c r="K29" s="293">
        <f t="shared" si="2"/>
        <v>0.77190000000000003</v>
      </c>
    </row>
    <row r="30" spans="1:11" s="262" customFormat="1" ht="17.55" thickBot="1" x14ac:dyDescent="0.3">
      <c r="A30" s="272" t="s">
        <v>200</v>
      </c>
      <c r="B30" s="100"/>
      <c r="C30" s="302">
        <f>D30*C4</f>
        <v>177022.4</v>
      </c>
      <c r="D30" s="298">
        <f>0.86*B27</f>
        <v>4.4255599999999999</v>
      </c>
      <c r="E30" s="328"/>
      <c r="F30" s="281">
        <f>$F$5</f>
        <v>0.27</v>
      </c>
      <c r="G30" s="282">
        <f t="shared" si="3"/>
        <v>0.73</v>
      </c>
      <c r="H30" s="291">
        <f>C30*F30</f>
        <v>47796.048000000003</v>
      </c>
      <c r="I30" s="293">
        <f t="shared" si="1"/>
        <v>3.9830040000000002</v>
      </c>
      <c r="J30" s="291">
        <f>C30*G30</f>
        <v>129226.352</v>
      </c>
      <c r="K30" s="293">
        <f t="shared" si="2"/>
        <v>4.615226857142857</v>
      </c>
    </row>
    <row r="31" spans="1:11" s="262" customFormat="1" ht="14.4" x14ac:dyDescent="0.25"/>
    <row r="32" spans="1:11" s="304" customFormat="1" thickBot="1" x14ac:dyDescent="0.3"/>
    <row r="33" spans="1:16" s="262" customFormat="1" thickBot="1" x14ac:dyDescent="0.3"/>
    <row r="34" spans="1:16" ht="17.55" x14ac:dyDescent="0.3">
      <c r="E34" s="494" t="str">
        <f>CONCATENATE(E35,"% polymer solution")</f>
        <v>0,5% polymer solution</v>
      </c>
      <c r="F34" s="495"/>
      <c r="P34" s="106"/>
    </row>
    <row r="35" spans="1:16" ht="18.2" x14ac:dyDescent="0.35">
      <c r="E35" s="305">
        <v>0.5</v>
      </c>
      <c r="F35" s="308" t="s">
        <v>14</v>
      </c>
    </row>
    <row r="36" spans="1:16" ht="17.55" x14ac:dyDescent="0.3">
      <c r="E36" s="307">
        <f>E35*10</f>
        <v>5</v>
      </c>
      <c r="F36" s="306" t="s">
        <v>365</v>
      </c>
      <c r="G36" s="262"/>
      <c r="I36" s="113"/>
      <c r="K36" s="113"/>
      <c r="L36" s="325"/>
      <c r="N36" s="325"/>
    </row>
    <row r="37" spans="1:16" ht="18.2" x14ac:dyDescent="0.35">
      <c r="B37" s="96"/>
      <c r="E37" s="305">
        <v>1</v>
      </c>
      <c r="F37" s="306" t="s">
        <v>201</v>
      </c>
      <c r="G37" s="95"/>
      <c r="H37" s="95"/>
      <c r="I37" s="96"/>
      <c r="J37" s="96"/>
      <c r="K37" s="96"/>
      <c r="L37" s="102"/>
      <c r="N37" s="102"/>
    </row>
    <row r="38" spans="1:16" ht="15.05" customHeight="1" thickBot="1" x14ac:dyDescent="0.4">
      <c r="C38" s="91"/>
      <c r="D38" s="91"/>
      <c r="E38" s="305">
        <v>100</v>
      </c>
      <c r="F38" s="310" t="str">
        <f>CONCATENATE("L ",E34,"/ton input")</f>
        <v>L 0,5% polymer solution/ton input</v>
      </c>
      <c r="G38" s="95"/>
      <c r="H38" s="95"/>
      <c r="I38" s="95"/>
      <c r="J38" s="95"/>
      <c r="K38" s="95"/>
      <c r="L38" s="325"/>
      <c r="N38" s="325"/>
    </row>
    <row r="39" spans="1:16" s="262" customFormat="1" ht="21.3" thickBot="1" x14ac:dyDescent="0.4">
      <c r="A39" s="272" t="s">
        <v>361</v>
      </c>
      <c r="B39" s="295"/>
      <c r="C39" s="280">
        <v>40000</v>
      </c>
      <c r="D39" s="411"/>
      <c r="E39" s="421">
        <f>(E38*E37/1000)*C39</f>
        <v>4000</v>
      </c>
      <c r="F39" s="418">
        <v>0.28000000000000003</v>
      </c>
      <c r="G39" s="282">
        <f>100%-F39</f>
        <v>0.72</v>
      </c>
      <c r="H39" s="291">
        <f>($C39+$E39)*F39</f>
        <v>12320.000000000002</v>
      </c>
      <c r="I39" s="292"/>
      <c r="J39" s="291">
        <f>($C39+$E39)*G39</f>
        <v>31680</v>
      </c>
      <c r="K39" s="292"/>
    </row>
    <row r="40" spans="1:16" s="262" customFormat="1" ht="17.55" thickBot="1" x14ac:dyDescent="0.3">
      <c r="A40" s="273" t="s">
        <v>175</v>
      </c>
      <c r="C40" s="283">
        <f>(C39*1000)-C41</f>
        <v>36000000</v>
      </c>
      <c r="D40" s="412">
        <f>C40/C39</f>
        <v>900</v>
      </c>
      <c r="E40" s="422">
        <f>(E39*1000)-E41</f>
        <v>3980000</v>
      </c>
      <c r="F40" s="419">
        <f>(H40/C40)</f>
        <v>0.27288888888888896</v>
      </c>
      <c r="G40" s="282">
        <f>100%-F40</f>
        <v>0.72711111111111104</v>
      </c>
      <c r="H40" s="291">
        <f>(H39*1000)-H41</f>
        <v>9824000.0000000019</v>
      </c>
      <c r="I40" s="293">
        <f>H39/$H$39</f>
        <v>1</v>
      </c>
      <c r="J40" s="291">
        <f>(J39*1000)-J41</f>
        <v>30156000</v>
      </c>
      <c r="K40" s="293">
        <f t="shared" ref="K40:K65" si="4">J40/$J$39</f>
        <v>951.89393939393938</v>
      </c>
    </row>
    <row r="41" spans="1:16" s="262" customFormat="1" ht="21.3" thickBot="1" x14ac:dyDescent="0.4">
      <c r="A41" s="272" t="s">
        <v>176</v>
      </c>
      <c r="B41" s="295">
        <v>100</v>
      </c>
      <c r="C41" s="280">
        <f>C42+C45</f>
        <v>4000000</v>
      </c>
      <c r="D41" s="413">
        <f>C41/C39</f>
        <v>100</v>
      </c>
      <c r="E41" s="422">
        <f>E42+E45</f>
        <v>20000</v>
      </c>
      <c r="F41" s="419">
        <f>(H41/C41)</f>
        <v>0.624</v>
      </c>
      <c r="G41" s="282">
        <f>J41/C41</f>
        <v>0.38100000000000001</v>
      </c>
      <c r="H41" s="291">
        <f>H42+H45</f>
        <v>2496000</v>
      </c>
      <c r="I41" s="293">
        <f t="shared" ref="I41:I65" si="5">H41/$H$39</f>
        <v>202.59740259740258</v>
      </c>
      <c r="J41" s="291">
        <f>J42+J45</f>
        <v>1524000</v>
      </c>
      <c r="K41" s="293">
        <f t="shared" si="4"/>
        <v>48.106060606060609</v>
      </c>
    </row>
    <row r="42" spans="1:16" s="262" customFormat="1" ht="17.55" thickBot="1" x14ac:dyDescent="0.3">
      <c r="A42" s="273" t="s">
        <v>177</v>
      </c>
      <c r="B42" s="265">
        <f>B41-B45</f>
        <v>40</v>
      </c>
      <c r="C42" s="280">
        <f>C43+C44</f>
        <v>1600000</v>
      </c>
      <c r="D42" s="414">
        <f>C42/C39</f>
        <v>40</v>
      </c>
      <c r="E42" s="422">
        <f>E43+E44</f>
        <v>0</v>
      </c>
      <c r="F42" s="419">
        <f>(H42/C42)</f>
        <v>0.5</v>
      </c>
      <c r="G42" s="282">
        <f>J42/C42</f>
        <v>0.5</v>
      </c>
      <c r="H42" s="291">
        <f>H43+H44</f>
        <v>800000</v>
      </c>
      <c r="I42" s="293">
        <f t="shared" si="5"/>
        <v>64.935064935064929</v>
      </c>
      <c r="J42" s="291">
        <f>J43+J44</f>
        <v>800000</v>
      </c>
      <c r="K42" s="293">
        <f t="shared" si="4"/>
        <v>25.252525252525253</v>
      </c>
    </row>
    <row r="43" spans="1:16" s="262" customFormat="1" ht="17.55" thickBot="1" x14ac:dyDescent="0.3">
      <c r="A43" s="272" t="s">
        <v>178</v>
      </c>
      <c r="C43" s="283">
        <f>D43*C39</f>
        <v>800000</v>
      </c>
      <c r="D43" s="412">
        <f>1/2*B42</f>
        <v>20</v>
      </c>
      <c r="E43" s="422">
        <v>0</v>
      </c>
      <c r="F43" s="420">
        <v>0.8</v>
      </c>
      <c r="G43" s="282">
        <f t="shared" ref="G43:G44" si="6">100%-F43</f>
        <v>0.19999999999999996</v>
      </c>
      <c r="H43" s="291">
        <f>($C43+$E43)*F43</f>
        <v>640000</v>
      </c>
      <c r="I43" s="293">
        <f t="shared" si="5"/>
        <v>51.94805194805194</v>
      </c>
      <c r="J43" s="291">
        <f>($C43+$E43)*G43</f>
        <v>159999.99999999997</v>
      </c>
      <c r="K43" s="293">
        <f t="shared" si="4"/>
        <v>5.0505050505050493</v>
      </c>
    </row>
    <row r="44" spans="1:16" s="262" customFormat="1" ht="17.55" thickBot="1" x14ac:dyDescent="0.3">
      <c r="A44" s="273" t="s">
        <v>179</v>
      </c>
      <c r="C44" s="302">
        <f>D44*C39</f>
        <v>800000</v>
      </c>
      <c r="D44" s="412">
        <f>1/2*B42</f>
        <v>20</v>
      </c>
      <c r="E44" s="422">
        <v>0</v>
      </c>
      <c r="F44" s="420">
        <v>0.2</v>
      </c>
      <c r="G44" s="282">
        <f t="shared" si="6"/>
        <v>0.8</v>
      </c>
      <c r="H44" s="291">
        <f>($C44+$E44)*F44</f>
        <v>160000</v>
      </c>
      <c r="I44" s="293">
        <f t="shared" si="5"/>
        <v>12.987012987012985</v>
      </c>
      <c r="J44" s="291">
        <f>($C44+$E44)*G44</f>
        <v>640000</v>
      </c>
      <c r="K44" s="293">
        <f t="shared" si="4"/>
        <v>20.202020202020201</v>
      </c>
    </row>
    <row r="45" spans="1:16" s="262" customFormat="1" ht="21.3" thickBot="1" x14ac:dyDescent="0.4">
      <c r="A45" s="272" t="s">
        <v>180</v>
      </c>
      <c r="B45" s="295">
        <f>0.6*B41</f>
        <v>60</v>
      </c>
      <c r="C45" s="303">
        <f>C46+C47</f>
        <v>2400000</v>
      </c>
      <c r="D45" s="413">
        <f>C45/C39</f>
        <v>60</v>
      </c>
      <c r="E45" s="422">
        <f>E46+E47</f>
        <v>20000</v>
      </c>
      <c r="F45" s="419">
        <f>(H45/C45)</f>
        <v>0.70666666666666667</v>
      </c>
      <c r="G45" s="282">
        <f>J45/C45</f>
        <v>0.30166666666666664</v>
      </c>
      <c r="H45" s="291">
        <f>H46+H47</f>
        <v>1696000</v>
      </c>
      <c r="I45" s="293">
        <f t="shared" si="5"/>
        <v>137.66233766233765</v>
      </c>
      <c r="J45" s="291">
        <f>J46+J47</f>
        <v>723999.99999999988</v>
      </c>
      <c r="K45" s="293">
        <f t="shared" si="4"/>
        <v>22.853535353535349</v>
      </c>
    </row>
    <row r="46" spans="1:16" s="262" customFormat="1" ht="17.55" thickBot="1" x14ac:dyDescent="0.3">
      <c r="A46" s="273" t="s">
        <v>181</v>
      </c>
      <c r="C46" s="302">
        <f>D46*C39</f>
        <v>2000000</v>
      </c>
      <c r="D46" s="412">
        <f>5/6*B45</f>
        <v>50</v>
      </c>
      <c r="E46" s="422">
        <f>E36*E39</f>
        <v>20000</v>
      </c>
      <c r="F46" s="420">
        <v>0.8</v>
      </c>
      <c r="G46" s="282">
        <f>100%-F46</f>
        <v>0.19999999999999996</v>
      </c>
      <c r="H46" s="291">
        <f>($C46+$E46)*F46</f>
        <v>1616000</v>
      </c>
      <c r="I46" s="293">
        <f t="shared" si="5"/>
        <v>131.16883116883116</v>
      </c>
      <c r="J46" s="291">
        <f>($C46+$E46)*G46</f>
        <v>403999.99999999988</v>
      </c>
      <c r="K46" s="293">
        <f t="shared" si="4"/>
        <v>12.752525252525249</v>
      </c>
    </row>
    <row r="47" spans="1:16" s="262" customFormat="1" ht="17.55" thickBot="1" x14ac:dyDescent="0.3">
      <c r="A47" s="272" t="s">
        <v>182</v>
      </c>
      <c r="C47" s="302">
        <f>D47*C39</f>
        <v>400000</v>
      </c>
      <c r="D47" s="412">
        <f>1/6*B45</f>
        <v>10</v>
      </c>
      <c r="E47" s="422">
        <v>0</v>
      </c>
      <c r="F47" s="420">
        <v>0.2</v>
      </c>
      <c r="G47" s="282">
        <f>100%-F47</f>
        <v>0.8</v>
      </c>
      <c r="H47" s="291">
        <f>($C47+$E47)*F47</f>
        <v>80000</v>
      </c>
      <c r="I47" s="293">
        <f t="shared" si="5"/>
        <v>6.4935064935064926</v>
      </c>
      <c r="J47" s="291">
        <f>($C47+$E47)*G47</f>
        <v>320000</v>
      </c>
      <c r="K47" s="293">
        <f t="shared" si="4"/>
        <v>10.1010101010101</v>
      </c>
    </row>
    <row r="48" spans="1:16" s="262" customFormat="1" ht="21.3" thickBot="1" x14ac:dyDescent="0.4">
      <c r="A48" s="273" t="s">
        <v>183</v>
      </c>
      <c r="B48" s="295">
        <v>6.7</v>
      </c>
      <c r="C48" s="303">
        <f>C49+C52</f>
        <v>268000</v>
      </c>
      <c r="D48" s="415">
        <f>C48/C39</f>
        <v>6.7</v>
      </c>
      <c r="E48" s="422">
        <v>0</v>
      </c>
      <c r="F48" s="419">
        <f>(H48/C48)</f>
        <v>0.34784831304470559</v>
      </c>
      <c r="G48" s="282">
        <f>J48/C48</f>
        <v>0.65215168695529435</v>
      </c>
      <c r="H48" s="291">
        <f>H49+H52</f>
        <v>93223.347895981104</v>
      </c>
      <c r="I48" s="293">
        <f t="shared" si="5"/>
        <v>7.5668301863621013</v>
      </c>
      <c r="J48" s="291">
        <f>J49+J52</f>
        <v>174776.6521040189</v>
      </c>
      <c r="K48" s="293">
        <f t="shared" si="4"/>
        <v>5.5169397760106973</v>
      </c>
    </row>
    <row r="49" spans="1:11" s="262" customFormat="1" ht="17.55" thickBot="1" x14ac:dyDescent="0.3">
      <c r="A49" s="272" t="s">
        <v>184</v>
      </c>
      <c r="B49" s="265">
        <f>D51/0.94</f>
        <v>3.9361702127659579</v>
      </c>
      <c r="C49" s="303">
        <f>C50+C51</f>
        <v>157446.80851063831</v>
      </c>
      <c r="D49" s="416">
        <f>C49/C39</f>
        <v>3.9361702127659579</v>
      </c>
      <c r="E49" s="422">
        <v>0</v>
      </c>
      <c r="F49" s="419">
        <f>(H49/C49)</f>
        <v>0.2985155555555557</v>
      </c>
      <c r="G49" s="282">
        <f>J49/C49</f>
        <v>0.70148444444444435</v>
      </c>
      <c r="H49" s="291">
        <f>H50+H51</f>
        <v>47000.321513002389</v>
      </c>
      <c r="I49" s="293">
        <f t="shared" si="5"/>
        <v>3.8149611617696739</v>
      </c>
      <c r="J49" s="291">
        <f>J50+J51</f>
        <v>110446.48699763593</v>
      </c>
      <c r="K49" s="293">
        <f t="shared" si="4"/>
        <v>3.4863158774506293</v>
      </c>
    </row>
    <row r="50" spans="1:11" s="262" customFormat="1" ht="17.55" thickBot="1" x14ac:dyDescent="0.3">
      <c r="A50" s="273" t="s">
        <v>185</v>
      </c>
      <c r="C50" s="303">
        <f>D50*C39</f>
        <v>9446.8085106383096</v>
      </c>
      <c r="D50" s="416">
        <f>B49-D51</f>
        <v>0.23617021276595773</v>
      </c>
      <c r="E50" s="422">
        <v>0</v>
      </c>
      <c r="F50" s="420">
        <v>0.7</v>
      </c>
      <c r="G50" s="282">
        <f>100%-F50</f>
        <v>0.30000000000000004</v>
      </c>
      <c r="H50" s="291">
        <f>C50*F50</f>
        <v>6612.7659574468162</v>
      </c>
      <c r="I50" s="293">
        <f t="shared" si="5"/>
        <v>0.5367504835589948</v>
      </c>
      <c r="J50" s="291">
        <f>C50*G50</f>
        <v>2834.0425531914934</v>
      </c>
      <c r="K50" s="293">
        <f t="shared" si="4"/>
        <v>8.9458413926499156E-2</v>
      </c>
    </row>
    <row r="51" spans="1:11" s="262" customFormat="1" ht="21.3" thickBot="1" x14ac:dyDescent="0.4">
      <c r="A51" s="272" t="s">
        <v>186</v>
      </c>
      <c r="B51" s="295">
        <v>3.7</v>
      </c>
      <c r="C51" s="302">
        <f>D51*C39</f>
        <v>148000</v>
      </c>
      <c r="D51" s="415">
        <f>B51</f>
        <v>3.7</v>
      </c>
      <c r="E51" s="422">
        <v>0</v>
      </c>
      <c r="F51" s="420">
        <f>$F$40</f>
        <v>0.27288888888888896</v>
      </c>
      <c r="G51" s="282">
        <f>100%-F51</f>
        <v>0.72711111111111104</v>
      </c>
      <c r="H51" s="291">
        <f>C51*F51</f>
        <v>40387.555555555569</v>
      </c>
      <c r="I51" s="293">
        <f t="shared" si="5"/>
        <v>3.2782106782106788</v>
      </c>
      <c r="J51" s="291">
        <f>C51*G51</f>
        <v>107612.44444444444</v>
      </c>
      <c r="K51" s="293">
        <f t="shared" si="4"/>
        <v>3.39685746352413</v>
      </c>
    </row>
    <row r="52" spans="1:11" s="262" customFormat="1" ht="17.55" thickBot="1" x14ac:dyDescent="0.3">
      <c r="A52" s="273" t="s">
        <v>187</v>
      </c>
      <c r="B52" s="265">
        <f>B48-B49</f>
        <v>2.7638297872340423</v>
      </c>
      <c r="C52" s="303">
        <f>C53+C54</f>
        <v>110553.19148936169</v>
      </c>
      <c r="D52" s="416">
        <f>C52/C39</f>
        <v>2.7638297872340423</v>
      </c>
      <c r="E52" s="422">
        <v>0</v>
      </c>
      <c r="F52" s="419">
        <f>(H52/C52)</f>
        <v>0.41810666666666668</v>
      </c>
      <c r="G52" s="282">
        <f>J52/C52</f>
        <v>0.58189333333333326</v>
      </c>
      <c r="H52" s="291">
        <f>H53+H54</f>
        <v>46223.026382978722</v>
      </c>
      <c r="I52" s="293">
        <f t="shared" si="5"/>
        <v>3.7518690245924282</v>
      </c>
      <c r="J52" s="291">
        <f>J53+J54</f>
        <v>64330.16510638297</v>
      </c>
      <c r="K52" s="293">
        <f t="shared" si="4"/>
        <v>2.0306238985600684</v>
      </c>
    </row>
    <row r="53" spans="1:11" s="262" customFormat="1" ht="17.55" thickBot="1" x14ac:dyDescent="0.3">
      <c r="A53" s="272" t="s">
        <v>188</v>
      </c>
      <c r="C53" s="302">
        <f>D53*C39</f>
        <v>37588.085106382976</v>
      </c>
      <c r="D53" s="417">
        <f>0.34*B52</f>
        <v>0.93970212765957439</v>
      </c>
      <c r="E53" s="422">
        <v>0</v>
      </c>
      <c r="F53" s="420">
        <v>0.7</v>
      </c>
      <c r="G53" s="282">
        <f>100%-F53</f>
        <v>0.30000000000000004</v>
      </c>
      <c r="H53" s="291">
        <f>C53*F53</f>
        <v>26311.659574468082</v>
      </c>
      <c r="I53" s="293">
        <f t="shared" si="5"/>
        <v>2.1356866537717596</v>
      </c>
      <c r="J53" s="291">
        <f>C53*G53</f>
        <v>11276.425531914894</v>
      </c>
      <c r="K53" s="293">
        <f t="shared" si="4"/>
        <v>0.35594777562862673</v>
      </c>
    </row>
    <row r="54" spans="1:11" s="262" customFormat="1" ht="17.55" thickBot="1" x14ac:dyDescent="0.3">
      <c r="A54" s="273" t="s">
        <v>189</v>
      </c>
      <c r="C54" s="302">
        <f>D54*C39</f>
        <v>72965.106382978716</v>
      </c>
      <c r="D54" s="417">
        <f>0.66*B52</f>
        <v>1.824127659574468</v>
      </c>
      <c r="E54" s="422">
        <v>0</v>
      </c>
      <c r="F54" s="420">
        <f>$F$40</f>
        <v>0.27288888888888896</v>
      </c>
      <c r="G54" s="282">
        <f>100%-F54</f>
        <v>0.72711111111111104</v>
      </c>
      <c r="H54" s="291">
        <f>C54*F54</f>
        <v>19911.36680851064</v>
      </c>
      <c r="I54" s="293">
        <f t="shared" si="5"/>
        <v>1.6161823708206686</v>
      </c>
      <c r="J54" s="291">
        <f>C54*G54</f>
        <v>53053.739574468076</v>
      </c>
      <c r="K54" s="293">
        <f t="shared" si="4"/>
        <v>1.6746761229314417</v>
      </c>
    </row>
    <row r="55" spans="1:11" s="262" customFormat="1" ht="21.3" thickBot="1" x14ac:dyDescent="0.4">
      <c r="A55" s="272" t="s">
        <v>190</v>
      </c>
      <c r="B55" s="295">
        <v>1.8</v>
      </c>
      <c r="C55" s="303">
        <f>C56+C59</f>
        <v>72000</v>
      </c>
      <c r="D55" s="415">
        <f>C55/C39</f>
        <v>1.8</v>
      </c>
      <c r="E55" s="422">
        <v>0</v>
      </c>
      <c r="F55" s="419">
        <f>(H55/C55)</f>
        <v>0.58702888888888893</v>
      </c>
      <c r="G55" s="282">
        <f>J55/C55</f>
        <v>0.41297111111111112</v>
      </c>
      <c r="H55" s="291">
        <f>H56+H59</f>
        <v>42266.080000000002</v>
      </c>
      <c r="I55" s="293">
        <f t="shared" si="5"/>
        <v>3.4306883116883111</v>
      </c>
      <c r="J55" s="291">
        <f>J56+J59</f>
        <v>29733.920000000002</v>
      </c>
      <c r="K55" s="293">
        <f t="shared" si="4"/>
        <v>0.93857070707070711</v>
      </c>
    </row>
    <row r="56" spans="1:11" s="262" customFormat="1" ht="17.55" thickBot="1" x14ac:dyDescent="0.3">
      <c r="A56" s="273" t="s">
        <v>191</v>
      </c>
      <c r="C56" s="303">
        <f>C57+C58</f>
        <v>3600.0000000000005</v>
      </c>
      <c r="D56" s="416">
        <f>C56/C39</f>
        <v>9.0000000000000011E-2</v>
      </c>
      <c r="E56" s="422">
        <v>0</v>
      </c>
      <c r="F56" s="419">
        <f>(H56/C56)</f>
        <v>0.49457777777777784</v>
      </c>
      <c r="G56" s="282">
        <f>J56/C56</f>
        <v>0.50542222222222211</v>
      </c>
      <c r="H56" s="291">
        <f>H57+H58</f>
        <v>1780.4800000000005</v>
      </c>
      <c r="I56" s="293">
        <f t="shared" si="5"/>
        <v>0.14451948051948055</v>
      </c>
      <c r="J56" s="291">
        <f>J57+J58</f>
        <v>1819.52</v>
      </c>
      <c r="K56" s="293">
        <f t="shared" si="4"/>
        <v>5.7434343434343435E-2</v>
      </c>
    </row>
    <row r="57" spans="1:11" s="262" customFormat="1" ht="17.55" thickBot="1" x14ac:dyDescent="0.3">
      <c r="A57" s="272" t="s">
        <v>192</v>
      </c>
      <c r="B57" s="100"/>
      <c r="C57" s="303">
        <f>D57*C39</f>
        <v>2880.0000000000005</v>
      </c>
      <c r="D57" s="416">
        <f>0.04*B55</f>
        <v>7.2000000000000008E-2</v>
      </c>
      <c r="E57" s="422">
        <v>0</v>
      </c>
      <c r="F57" s="420">
        <v>0.55000000000000004</v>
      </c>
      <c r="G57" s="282">
        <f>100%-F57</f>
        <v>0.44999999999999996</v>
      </c>
      <c r="H57" s="291">
        <f>C57*F57</f>
        <v>1584.0000000000005</v>
      </c>
      <c r="I57" s="293">
        <f t="shared" si="5"/>
        <v>0.12857142857142859</v>
      </c>
      <c r="J57" s="291">
        <f>C57*G57</f>
        <v>1296</v>
      </c>
      <c r="K57" s="293">
        <f t="shared" si="4"/>
        <v>4.0909090909090909E-2</v>
      </c>
    </row>
    <row r="58" spans="1:11" s="262" customFormat="1" ht="17.55" thickBot="1" x14ac:dyDescent="0.3">
      <c r="A58" s="273" t="s">
        <v>193</v>
      </c>
      <c r="B58" s="266">
        <v>5.8999999999999997E-2</v>
      </c>
      <c r="C58" s="302">
        <f>D58*C39</f>
        <v>720.00000000000011</v>
      </c>
      <c r="D58" s="417">
        <f>0.01*B55</f>
        <v>1.8000000000000002E-2</v>
      </c>
      <c r="E58" s="422">
        <v>0</v>
      </c>
      <c r="F58" s="420">
        <f>$F$40</f>
        <v>0.27288888888888896</v>
      </c>
      <c r="G58" s="282">
        <f>100%-F58</f>
        <v>0.72711111111111104</v>
      </c>
      <c r="H58" s="291">
        <f>C58*F58</f>
        <v>196.48000000000008</v>
      </c>
      <c r="I58" s="294">
        <f t="shared" si="5"/>
        <v>1.5948051948051951E-2</v>
      </c>
      <c r="J58" s="291">
        <f>C58*G58</f>
        <v>523.52</v>
      </c>
      <c r="K58" s="293">
        <f t="shared" si="4"/>
        <v>1.6525252525252526E-2</v>
      </c>
    </row>
    <row r="59" spans="1:11" s="262" customFormat="1" ht="17.55" thickBot="1" x14ac:dyDescent="0.3">
      <c r="A59" s="272" t="s">
        <v>194</v>
      </c>
      <c r="B59" s="100"/>
      <c r="C59" s="303">
        <f>C60+C61</f>
        <v>68400</v>
      </c>
      <c r="D59" s="416">
        <f>C59/C39</f>
        <v>1.71</v>
      </c>
      <c r="E59" s="422">
        <v>0</v>
      </c>
      <c r="F59" s="419">
        <f>(H59/C59)</f>
        <v>0.59189473684210525</v>
      </c>
      <c r="G59" s="282">
        <f>J59/C59</f>
        <v>0.40810526315789475</v>
      </c>
      <c r="H59" s="291">
        <f>H60+H61</f>
        <v>40485.599999999999</v>
      </c>
      <c r="I59" s="293">
        <f t="shared" si="5"/>
        <v>3.2861688311688306</v>
      </c>
      <c r="J59" s="291">
        <f>J60+J61</f>
        <v>27914.400000000001</v>
      </c>
      <c r="K59" s="293">
        <f t="shared" si="4"/>
        <v>0.88113636363636372</v>
      </c>
    </row>
    <row r="60" spans="1:11" s="262" customFormat="1" ht="17.55" thickBot="1" x14ac:dyDescent="0.3">
      <c r="A60" s="273" t="s">
        <v>195</v>
      </c>
      <c r="B60" s="100"/>
      <c r="C60" s="302">
        <f>D60*C39</f>
        <v>51120</v>
      </c>
      <c r="D60" s="417">
        <f>0.71*B55</f>
        <v>1.278</v>
      </c>
      <c r="E60" s="422">
        <v>0</v>
      </c>
      <c r="F60" s="420">
        <v>0.65</v>
      </c>
      <c r="G60" s="282">
        <f>100%-F60</f>
        <v>0.35</v>
      </c>
      <c r="H60" s="291">
        <f>C60*F60</f>
        <v>33228</v>
      </c>
      <c r="I60" s="293">
        <f t="shared" si="5"/>
        <v>2.6970779220779217</v>
      </c>
      <c r="J60" s="291">
        <f>C60*G60</f>
        <v>17892</v>
      </c>
      <c r="K60" s="293">
        <f t="shared" si="4"/>
        <v>0.56477272727272732</v>
      </c>
    </row>
    <row r="61" spans="1:11" s="262" customFormat="1" ht="17.55" thickBot="1" x14ac:dyDescent="0.3">
      <c r="A61" s="272" t="s">
        <v>196</v>
      </c>
      <c r="B61" s="100"/>
      <c r="C61" s="302">
        <f>D61*C39</f>
        <v>17280</v>
      </c>
      <c r="D61" s="417">
        <f>0.24*B55</f>
        <v>0.432</v>
      </c>
      <c r="E61" s="422">
        <v>0</v>
      </c>
      <c r="F61" s="420">
        <f>$F$5+15%</f>
        <v>0.42000000000000004</v>
      </c>
      <c r="G61" s="282">
        <f>100%-F61</f>
        <v>0.57999999999999996</v>
      </c>
      <c r="H61" s="291">
        <f>C61*F61</f>
        <v>7257.6</v>
      </c>
      <c r="I61" s="293">
        <f t="shared" si="5"/>
        <v>0.589090909090909</v>
      </c>
      <c r="J61" s="291">
        <f>C61*G61</f>
        <v>10022.4</v>
      </c>
      <c r="K61" s="293">
        <f t="shared" si="4"/>
        <v>0.31636363636363635</v>
      </c>
    </row>
    <row r="62" spans="1:11" s="262" customFormat="1" ht="21.3" thickBot="1" x14ac:dyDescent="0.4">
      <c r="A62" s="273" t="s">
        <v>197</v>
      </c>
      <c r="B62" s="295">
        <f>6.2*0.83</f>
        <v>5.1459999999999999</v>
      </c>
      <c r="C62" s="303">
        <f>C63</f>
        <v>205840</v>
      </c>
      <c r="D62" s="415">
        <f>C62/C39</f>
        <v>5.1459999999999999</v>
      </c>
      <c r="E62" s="422">
        <v>0</v>
      </c>
      <c r="F62" s="419">
        <f>(H62/C62)</f>
        <v>0.2696844444444445</v>
      </c>
      <c r="G62" s="282">
        <f>J62/C62</f>
        <v>0.7303155555555555</v>
      </c>
      <c r="H62" s="291">
        <f>H63</f>
        <v>55511.846044444457</v>
      </c>
      <c r="I62" s="293">
        <f t="shared" si="5"/>
        <v>4.5058316594516601</v>
      </c>
      <c r="J62" s="291">
        <f>J63</f>
        <v>150328.15395555555</v>
      </c>
      <c r="K62" s="293">
        <f t="shared" si="4"/>
        <v>4.7452068799102127</v>
      </c>
    </row>
    <row r="63" spans="1:11" s="262" customFormat="1" ht="17.55" thickBot="1" x14ac:dyDescent="0.3">
      <c r="A63" s="272" t="s">
        <v>198</v>
      </c>
      <c r="C63" s="303">
        <f>C64+C65</f>
        <v>205840</v>
      </c>
      <c r="D63" s="416">
        <f>C63/C39</f>
        <v>5.1459999999999999</v>
      </c>
      <c r="E63" s="422">
        <v>0</v>
      </c>
      <c r="F63" s="419">
        <f>(H63/C63)</f>
        <v>0.2696844444444445</v>
      </c>
      <c r="G63" s="282">
        <f>J63/C63</f>
        <v>0.7303155555555555</v>
      </c>
      <c r="H63" s="291">
        <f>H64+H65</f>
        <v>55511.846044444457</v>
      </c>
      <c r="I63" s="293">
        <f t="shared" si="5"/>
        <v>4.5058316594516601</v>
      </c>
      <c r="J63" s="291">
        <f>J64+J65</f>
        <v>150328.15395555555</v>
      </c>
      <c r="K63" s="293">
        <f t="shared" si="4"/>
        <v>4.7452068799102127</v>
      </c>
    </row>
    <row r="64" spans="1:11" s="262" customFormat="1" ht="17.55" thickBot="1" x14ac:dyDescent="0.3">
      <c r="A64" s="273" t="s">
        <v>199</v>
      </c>
      <c r="B64" s="100"/>
      <c r="C64" s="303">
        <f>D64*C39</f>
        <v>28817.600000000002</v>
      </c>
      <c r="D64" s="416">
        <f>0.14*B62</f>
        <v>0.72044000000000008</v>
      </c>
      <c r="E64" s="422">
        <v>0</v>
      </c>
      <c r="F64" s="420">
        <v>0.25</v>
      </c>
      <c r="G64" s="282">
        <f>100%-F64</f>
        <v>0.75</v>
      </c>
      <c r="H64" s="291">
        <f>C64*F64</f>
        <v>7204.4000000000005</v>
      </c>
      <c r="I64" s="293">
        <f t="shared" si="5"/>
        <v>0.58477272727272722</v>
      </c>
      <c r="J64" s="291">
        <f>C64*G64</f>
        <v>21613.200000000001</v>
      </c>
      <c r="K64" s="293">
        <f t="shared" si="4"/>
        <v>0.6822348484848485</v>
      </c>
    </row>
    <row r="65" spans="1:14" s="262" customFormat="1" ht="17.55" thickBot="1" x14ac:dyDescent="0.3">
      <c r="A65" s="272" t="s">
        <v>200</v>
      </c>
      <c r="B65" s="100"/>
      <c r="C65" s="302">
        <f>D65*C39</f>
        <v>177022.4</v>
      </c>
      <c r="D65" s="417">
        <f>0.86*B62</f>
        <v>4.4255599999999999</v>
      </c>
      <c r="E65" s="423">
        <v>0</v>
      </c>
      <c r="F65" s="420">
        <f>$F$40</f>
        <v>0.27288888888888896</v>
      </c>
      <c r="G65" s="282">
        <f>100%-F65</f>
        <v>0.72711111111111104</v>
      </c>
      <c r="H65" s="291">
        <f>C65*F65</f>
        <v>48307.446044444456</v>
      </c>
      <c r="I65" s="293">
        <f t="shared" si="5"/>
        <v>3.9210589321789326</v>
      </c>
      <c r="J65" s="291">
        <f>C65*G65</f>
        <v>128714.95395555554</v>
      </c>
      <c r="K65" s="293">
        <f t="shared" si="4"/>
        <v>4.0629720314253639</v>
      </c>
    </row>
    <row r="66" spans="1:14" x14ac:dyDescent="0.3">
      <c r="A66" s="90"/>
      <c r="B66" s="90"/>
      <c r="C66" s="90"/>
      <c r="D66" s="90"/>
      <c r="E66" s="90"/>
      <c r="F66" s="90"/>
      <c r="G66" s="90"/>
      <c r="I66" s="113"/>
      <c r="K66" s="113"/>
      <c r="L66" s="325"/>
      <c r="N66" s="325"/>
    </row>
    <row r="67" spans="1:14" s="304" customFormat="1" ht="15.65" thickBot="1" x14ac:dyDescent="0.35">
      <c r="A67" s="323"/>
      <c r="B67" s="323"/>
      <c r="C67" s="323"/>
      <c r="D67" s="323"/>
      <c r="E67" s="323"/>
      <c r="F67" s="323"/>
      <c r="G67" s="323"/>
      <c r="L67" s="326"/>
      <c r="M67" s="327"/>
      <c r="N67" s="326"/>
    </row>
    <row r="68" spans="1:14" x14ac:dyDescent="0.3">
      <c r="A68" s="262"/>
      <c r="B68" s="262"/>
      <c r="C68" s="262"/>
      <c r="D68" s="262"/>
      <c r="E68" s="262"/>
      <c r="F68" s="262"/>
    </row>
  </sheetData>
  <mergeCells count="5">
    <mergeCell ref="C1:D1"/>
    <mergeCell ref="F1:G1"/>
    <mergeCell ref="H1:I1"/>
    <mergeCell ref="J1:K1"/>
    <mergeCell ref="E34:F34"/>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0FFB3-216C-4BC7-80EE-EDAFF2C694C1}">
  <dimension ref="A1:L38"/>
  <sheetViews>
    <sheetView zoomScale="60" zoomScaleNormal="60" workbookViewId="0">
      <pane xSplit="1" ySplit="3" topLeftCell="B7" activePane="bottomRight" state="frozen"/>
      <selection pane="topRight" activeCell="C1" sqref="C1"/>
      <selection pane="bottomLeft" activeCell="A4" sqref="A4"/>
      <selection pane="bottomRight" activeCell="E35" sqref="E9:E35"/>
    </sheetView>
  </sheetViews>
  <sheetFormatPr defaultColWidth="10.796875" defaultRowHeight="15.05" x14ac:dyDescent="0.3"/>
  <cols>
    <col min="1" max="1" width="35.69921875" style="93" customWidth="1"/>
    <col min="2" max="2" width="27.8984375" style="113" bestFit="1" customWidth="1"/>
    <col min="3" max="3" width="19.296875" style="88" customWidth="1"/>
    <col min="4" max="4" width="25.796875" style="88" customWidth="1"/>
    <col min="5" max="5" width="30.296875" style="88" customWidth="1"/>
    <col min="6" max="6" width="37.296875" style="88" customWidth="1"/>
    <col min="7" max="7" width="33.59765625" style="88" customWidth="1"/>
    <col min="8" max="8" width="17" style="113" customWidth="1"/>
    <col min="9" max="9" width="21.296875" style="113" bestFit="1" customWidth="1"/>
    <col min="10" max="10" width="22" style="101" customWidth="1"/>
    <col min="11" max="11" width="21.296875" style="113" bestFit="1" customWidth="1"/>
    <col min="12" max="12" width="7.5" style="101" customWidth="1"/>
    <col min="13" max="13" width="4.5" style="113" customWidth="1"/>
    <col min="14" max="14" width="4.19921875" style="113" customWidth="1"/>
    <col min="15" max="16384" width="10.796875" style="113"/>
  </cols>
  <sheetData>
    <row r="1" spans="1:12" s="263" customFormat="1" ht="28.2" thickBot="1" x14ac:dyDescent="0.5">
      <c r="A1" s="271"/>
      <c r="B1" s="295" t="s">
        <v>359</v>
      </c>
      <c r="C1" s="496" t="s">
        <v>363</v>
      </c>
      <c r="D1" s="497"/>
      <c r="E1" s="279"/>
      <c r="F1" s="498" t="s">
        <v>109</v>
      </c>
      <c r="G1" s="499"/>
      <c r="H1" s="500" t="s">
        <v>49</v>
      </c>
      <c r="I1" s="500"/>
      <c r="J1" s="500" t="s">
        <v>64</v>
      </c>
      <c r="K1" s="500"/>
    </row>
    <row r="2" spans="1:12" s="263" customFormat="1" ht="50.75" thickBot="1" x14ac:dyDescent="0.45">
      <c r="A2" s="271"/>
      <c r="B2" s="316" t="s">
        <v>368</v>
      </c>
      <c r="C2" s="321" t="s">
        <v>171</v>
      </c>
      <c r="D2" s="319" t="s">
        <v>360</v>
      </c>
      <c r="E2" s="317" t="s">
        <v>364</v>
      </c>
      <c r="F2" s="268" t="s">
        <v>366</v>
      </c>
      <c r="G2" s="268" t="s">
        <v>362</v>
      </c>
      <c r="H2" s="289" t="s">
        <v>1</v>
      </c>
      <c r="I2" s="290" t="s">
        <v>113</v>
      </c>
      <c r="J2" s="289" t="s">
        <v>1</v>
      </c>
      <c r="K2" s="290" t="s">
        <v>113</v>
      </c>
      <c r="L2" s="289"/>
    </row>
    <row r="3" spans="1:12" s="263" customFormat="1" ht="18.2" thickBot="1" x14ac:dyDescent="0.35">
      <c r="A3" s="271"/>
      <c r="B3" s="95"/>
      <c r="C3" s="322"/>
      <c r="D3" s="320" t="s">
        <v>130</v>
      </c>
      <c r="E3" s="279"/>
      <c r="I3" s="276" t="s">
        <v>130</v>
      </c>
      <c r="K3" s="276" t="s">
        <v>130</v>
      </c>
    </row>
    <row r="4" spans="1:12" s="263" customFormat="1" ht="17.55" x14ac:dyDescent="0.3">
      <c r="A4" s="93"/>
      <c r="C4" s="88"/>
      <c r="E4" s="494" t="str">
        <f>CONCATENATE(E5,"% polymer solution")</f>
        <v>0,5% polymer solution</v>
      </c>
      <c r="F4" s="495"/>
      <c r="G4" s="87"/>
      <c r="H4" s="88"/>
      <c r="J4" s="101"/>
      <c r="L4" s="101"/>
    </row>
    <row r="5" spans="1:12" s="263" customFormat="1" ht="18.2" x14ac:dyDescent="0.35">
      <c r="A5" s="93"/>
      <c r="C5" s="88"/>
      <c r="D5" s="88"/>
      <c r="E5" s="305">
        <v>0.5</v>
      </c>
      <c r="F5" s="308" t="s">
        <v>14</v>
      </c>
      <c r="G5" s="87"/>
      <c r="H5" s="88"/>
      <c r="J5" s="101"/>
      <c r="L5" s="101"/>
    </row>
    <row r="6" spans="1:12" ht="17.55" x14ac:dyDescent="0.3">
      <c r="E6" s="307">
        <f>E5*10</f>
        <v>5</v>
      </c>
      <c r="F6" s="306" t="s">
        <v>365</v>
      </c>
      <c r="G6" s="263"/>
      <c r="J6" s="113"/>
    </row>
    <row r="7" spans="1:12" ht="46.05" customHeight="1" x14ac:dyDescent="0.35">
      <c r="B7" s="96"/>
      <c r="E7" s="305">
        <v>1</v>
      </c>
      <c r="F7" s="306" t="s">
        <v>201</v>
      </c>
      <c r="G7" s="95"/>
      <c r="H7" s="95"/>
      <c r="I7" s="96"/>
      <c r="J7" s="96"/>
      <c r="K7" s="96"/>
    </row>
    <row r="8" spans="1:12" ht="15.05" customHeight="1" thickBot="1" x14ac:dyDescent="0.4">
      <c r="C8" s="91"/>
      <c r="D8" s="91"/>
      <c r="E8" s="305">
        <v>100</v>
      </c>
      <c r="F8" s="310" t="str">
        <f>CONCATENATE("L ",E4,"/ton input")</f>
        <v>L 0,5% polymer solution/ton input</v>
      </c>
      <c r="G8" s="95"/>
      <c r="H8" s="95"/>
      <c r="I8" s="95"/>
      <c r="J8" s="95"/>
      <c r="K8" s="95"/>
    </row>
    <row r="9" spans="1:12" s="263" customFormat="1" ht="21.3" thickBot="1" x14ac:dyDescent="0.4">
      <c r="A9" s="272" t="s">
        <v>361</v>
      </c>
      <c r="B9" s="295">
        <v>40000</v>
      </c>
      <c r="C9" s="280">
        <f>B9</f>
        <v>40000</v>
      </c>
      <c r="D9" s="411"/>
      <c r="E9" s="421">
        <f>(E8*E7/1000)*C9</f>
        <v>4000</v>
      </c>
      <c r="F9" s="418">
        <v>0.28999999999999998</v>
      </c>
      <c r="G9" s="282">
        <f>100%-F9</f>
        <v>0.71</v>
      </c>
      <c r="H9" s="291">
        <f>($C9+$E9)*F9</f>
        <v>12760</v>
      </c>
      <c r="I9" s="292"/>
      <c r="J9" s="291">
        <f>($C9+$E9)*G9</f>
        <v>31240</v>
      </c>
      <c r="K9" s="292"/>
    </row>
    <row r="10" spans="1:12" s="263" customFormat="1" ht="17.55" thickBot="1" x14ac:dyDescent="0.3">
      <c r="A10" s="273" t="s">
        <v>175</v>
      </c>
      <c r="C10" s="283">
        <f>(C9*1000)-C11</f>
        <v>36000000</v>
      </c>
      <c r="D10" s="412">
        <f>C10/C9</f>
        <v>900</v>
      </c>
      <c r="E10" s="422">
        <f>(E9*1000)-E11</f>
        <v>3980000</v>
      </c>
      <c r="F10" s="419">
        <f>(H10/C10)</f>
        <v>0.28286111111111112</v>
      </c>
      <c r="G10" s="282">
        <f>100%-F10</f>
        <v>0.71713888888888888</v>
      </c>
      <c r="H10" s="291">
        <f>(H9*1000)-H11</f>
        <v>10183000</v>
      </c>
      <c r="I10" s="293">
        <f t="shared" ref="I10:I35" si="0">H10/$H$9</f>
        <v>798.04075235109713</v>
      </c>
      <c r="J10" s="291">
        <f>(J9*1000)-J11</f>
        <v>29797000</v>
      </c>
      <c r="K10" s="293">
        <f t="shared" ref="K10:K35" si="1">J10/$J$9</f>
        <v>953.80921895006406</v>
      </c>
    </row>
    <row r="11" spans="1:12" s="263" customFormat="1" ht="21.3" thickBot="1" x14ac:dyDescent="0.4">
      <c r="A11" s="272" t="s">
        <v>176</v>
      </c>
      <c r="B11" s="295">
        <v>100</v>
      </c>
      <c r="C11" s="280">
        <f>C12+C15</f>
        <v>4000000</v>
      </c>
      <c r="D11" s="413">
        <f>C11/C9</f>
        <v>100</v>
      </c>
      <c r="E11" s="422">
        <f>E12+E15</f>
        <v>20000</v>
      </c>
      <c r="F11" s="419">
        <f>(H11/C11)</f>
        <v>0.64424999999999999</v>
      </c>
      <c r="G11" s="282">
        <f>J11/C11</f>
        <v>0.36075000000000002</v>
      </c>
      <c r="H11" s="291">
        <f>H12+H15</f>
        <v>2577000</v>
      </c>
      <c r="I11" s="293">
        <f t="shared" si="0"/>
        <v>201.95924764890282</v>
      </c>
      <c r="J11" s="291">
        <f>J12+J15</f>
        <v>1443000</v>
      </c>
      <c r="K11" s="293">
        <f t="shared" si="1"/>
        <v>46.190781049935978</v>
      </c>
    </row>
    <row r="12" spans="1:12" s="263" customFormat="1" ht="17.55" thickBot="1" x14ac:dyDescent="0.3">
      <c r="A12" s="273" t="s">
        <v>177</v>
      </c>
      <c r="B12" s="265">
        <f>B11-B15</f>
        <v>40</v>
      </c>
      <c r="C12" s="280">
        <f>C13+C14</f>
        <v>1600000</v>
      </c>
      <c r="D12" s="414">
        <f>C12/C9</f>
        <v>40</v>
      </c>
      <c r="E12" s="422">
        <f>E13+E14</f>
        <v>0</v>
      </c>
      <c r="F12" s="419">
        <f>(H12/C12)</f>
        <v>0.47499999999999998</v>
      </c>
      <c r="G12" s="282">
        <f>J12/C12</f>
        <v>0.52500000000000002</v>
      </c>
      <c r="H12" s="291">
        <f>H13+H14</f>
        <v>760000</v>
      </c>
      <c r="I12" s="293">
        <f t="shared" si="0"/>
        <v>59.561128526645767</v>
      </c>
      <c r="J12" s="291">
        <f>J13+J14</f>
        <v>840000</v>
      </c>
      <c r="K12" s="293">
        <f t="shared" si="1"/>
        <v>26.888604353393085</v>
      </c>
    </row>
    <row r="13" spans="1:12" s="263" customFormat="1" ht="17.55" thickBot="1" x14ac:dyDescent="0.3">
      <c r="A13" s="272" t="s">
        <v>178</v>
      </c>
      <c r="C13" s="283">
        <f>D13*C9</f>
        <v>800000</v>
      </c>
      <c r="D13" s="412">
        <f>1/2*B12</f>
        <v>20</v>
      </c>
      <c r="E13" s="422">
        <v>0</v>
      </c>
      <c r="F13" s="420">
        <v>0.75</v>
      </c>
      <c r="G13" s="282">
        <f t="shared" ref="G13:G14" si="2">100%-F13</f>
        <v>0.25</v>
      </c>
      <c r="H13" s="291">
        <f>($C13+$E13)*F13</f>
        <v>600000</v>
      </c>
      <c r="I13" s="293">
        <f t="shared" si="0"/>
        <v>47.021943573667713</v>
      </c>
      <c r="J13" s="291">
        <f>($C13+$E13)*G13</f>
        <v>200000</v>
      </c>
      <c r="K13" s="293">
        <f t="shared" si="1"/>
        <v>6.4020486555697822</v>
      </c>
    </row>
    <row r="14" spans="1:12" s="263" customFormat="1" ht="17.55" thickBot="1" x14ac:dyDescent="0.3">
      <c r="A14" s="273" t="s">
        <v>179</v>
      </c>
      <c r="C14" s="302">
        <f>D14*C9</f>
        <v>800000</v>
      </c>
      <c r="D14" s="412">
        <f>1/2*B12</f>
        <v>20</v>
      </c>
      <c r="E14" s="422">
        <v>0</v>
      </c>
      <c r="F14" s="420">
        <v>0.2</v>
      </c>
      <c r="G14" s="282">
        <f t="shared" si="2"/>
        <v>0.8</v>
      </c>
      <c r="H14" s="291">
        <f>($C14+$E14)*F14</f>
        <v>160000</v>
      </c>
      <c r="I14" s="293">
        <f t="shared" si="0"/>
        <v>12.539184952978056</v>
      </c>
      <c r="J14" s="291">
        <f>($C14+$E14)*G14</f>
        <v>640000</v>
      </c>
      <c r="K14" s="293">
        <f t="shared" si="1"/>
        <v>20.486555697823302</v>
      </c>
    </row>
    <row r="15" spans="1:12" s="263" customFormat="1" ht="21.3" thickBot="1" x14ac:dyDescent="0.4">
      <c r="A15" s="272" t="s">
        <v>180</v>
      </c>
      <c r="B15" s="295">
        <f>0.6*B11</f>
        <v>60</v>
      </c>
      <c r="C15" s="303">
        <f>C16+C17</f>
        <v>2400000</v>
      </c>
      <c r="D15" s="413">
        <f>C15/C9</f>
        <v>60</v>
      </c>
      <c r="E15" s="422">
        <f>E16+E17</f>
        <v>20000</v>
      </c>
      <c r="F15" s="419">
        <f>(H15/C15)</f>
        <v>0.75708333333333333</v>
      </c>
      <c r="G15" s="282">
        <f>J15/C15</f>
        <v>0.25124999999999997</v>
      </c>
      <c r="H15" s="291">
        <f>H16+H17</f>
        <v>1817000</v>
      </c>
      <c r="I15" s="293">
        <f t="shared" si="0"/>
        <v>142.39811912225704</v>
      </c>
      <c r="J15" s="291">
        <f>J16+J17</f>
        <v>603000</v>
      </c>
      <c r="K15" s="293">
        <f t="shared" si="1"/>
        <v>19.302176696542894</v>
      </c>
    </row>
    <row r="16" spans="1:12" s="263" customFormat="1" ht="17.55" thickBot="1" x14ac:dyDescent="0.3">
      <c r="A16" s="273" t="s">
        <v>181</v>
      </c>
      <c r="C16" s="302">
        <f>D16*C9</f>
        <v>2000000</v>
      </c>
      <c r="D16" s="412">
        <f>5/6*B15</f>
        <v>50</v>
      </c>
      <c r="E16" s="422">
        <f>E6*E9</f>
        <v>20000</v>
      </c>
      <c r="F16" s="420">
        <v>0.85</v>
      </c>
      <c r="G16" s="282">
        <f>100%-F16</f>
        <v>0.15000000000000002</v>
      </c>
      <c r="H16" s="291">
        <f>($C16+$E16)*F16</f>
        <v>1717000</v>
      </c>
      <c r="I16" s="293">
        <f t="shared" si="0"/>
        <v>134.56112852664577</v>
      </c>
      <c r="J16" s="291">
        <f>($C16+$E16)*G16</f>
        <v>303000.00000000006</v>
      </c>
      <c r="K16" s="293">
        <f t="shared" si="1"/>
        <v>9.6991037131882223</v>
      </c>
    </row>
    <row r="17" spans="1:11" s="263" customFormat="1" ht="17.55" thickBot="1" x14ac:dyDescent="0.3">
      <c r="A17" s="272" t="s">
        <v>182</v>
      </c>
      <c r="C17" s="302">
        <f>D17*C9</f>
        <v>400000</v>
      </c>
      <c r="D17" s="412">
        <f>1/6*B15</f>
        <v>10</v>
      </c>
      <c r="E17" s="422">
        <v>0</v>
      </c>
      <c r="F17" s="420">
        <v>0.25</v>
      </c>
      <c r="G17" s="282">
        <f>100%-F17</f>
        <v>0.75</v>
      </c>
      <c r="H17" s="291">
        <f>($C17+$E17)*F17</f>
        <v>100000</v>
      </c>
      <c r="I17" s="293">
        <f t="shared" si="0"/>
        <v>7.8369905956112849</v>
      </c>
      <c r="J17" s="291">
        <f>($C17+$E17)*G17</f>
        <v>300000</v>
      </c>
      <c r="K17" s="293">
        <f t="shared" si="1"/>
        <v>9.6030729833546733</v>
      </c>
    </row>
    <row r="18" spans="1:11" s="263" customFormat="1" ht="21.3" thickBot="1" x14ac:dyDescent="0.4">
      <c r="A18" s="273" t="s">
        <v>183</v>
      </c>
      <c r="B18" s="295">
        <v>6.7</v>
      </c>
      <c r="C18" s="303">
        <f>C19+C22</f>
        <v>268000</v>
      </c>
      <c r="D18" s="415">
        <f>C18/C9</f>
        <v>6.7</v>
      </c>
      <c r="E18" s="422">
        <v>0</v>
      </c>
      <c r="F18" s="419">
        <f>(H18/C18)</f>
        <v>0.36308307946085183</v>
      </c>
      <c r="G18" s="282">
        <f>J18/C18</f>
        <v>0.63691692053914817</v>
      </c>
      <c r="H18" s="291">
        <f>H19+H22</f>
        <v>97306.265295508289</v>
      </c>
      <c r="I18" s="293">
        <f t="shared" si="0"/>
        <v>7.6258828601495523</v>
      </c>
      <c r="J18" s="291">
        <f>J19+J22</f>
        <v>170693.73470449171</v>
      </c>
      <c r="K18" s="293">
        <f t="shared" si="1"/>
        <v>5.4639479738953813</v>
      </c>
    </row>
    <row r="19" spans="1:11" s="263" customFormat="1" ht="17.55" thickBot="1" x14ac:dyDescent="0.3">
      <c r="A19" s="272" t="s">
        <v>184</v>
      </c>
      <c r="B19" s="265">
        <f>D21/0.94</f>
        <v>3.9361702127659579</v>
      </c>
      <c r="C19" s="303">
        <f>C20+C21</f>
        <v>157446.80851063831</v>
      </c>
      <c r="D19" s="416">
        <f>C19/C9</f>
        <v>3.9361702127659579</v>
      </c>
      <c r="E19" s="422">
        <v>0</v>
      </c>
      <c r="F19" s="419">
        <f>(H19/C19)</f>
        <v>0.30788944444444449</v>
      </c>
      <c r="G19" s="282">
        <f>J19/C19</f>
        <v>0.69211055555555545</v>
      </c>
      <c r="H19" s="291">
        <f>H20+H21</f>
        <v>48476.210401891265</v>
      </c>
      <c r="I19" s="293">
        <f t="shared" si="0"/>
        <v>3.7990760503049579</v>
      </c>
      <c r="J19" s="291">
        <f>J20+J21</f>
        <v>108970.59810874704</v>
      </c>
      <c r="K19" s="293">
        <f t="shared" si="1"/>
        <v>3.4881753555936954</v>
      </c>
    </row>
    <row r="20" spans="1:11" s="263" customFormat="1" ht="17.55" thickBot="1" x14ac:dyDescent="0.3">
      <c r="A20" s="273" t="s">
        <v>185</v>
      </c>
      <c r="C20" s="303">
        <f>D20*C9</f>
        <v>9446.8085106383096</v>
      </c>
      <c r="D20" s="416">
        <f>B19-D21</f>
        <v>0.23617021276595773</v>
      </c>
      <c r="E20" s="422">
        <v>0</v>
      </c>
      <c r="F20" s="420">
        <v>0.7</v>
      </c>
      <c r="G20" s="282">
        <f>100%-F20</f>
        <v>0.30000000000000004</v>
      </c>
      <c r="H20" s="291">
        <f>C20*F20</f>
        <v>6612.7659574468162</v>
      </c>
      <c r="I20" s="293">
        <f t="shared" si="0"/>
        <v>0.51824184619489155</v>
      </c>
      <c r="J20" s="291">
        <f>C20*G20</f>
        <v>2834.0425531914934</v>
      </c>
      <c r="K20" s="293">
        <f t="shared" si="1"/>
        <v>9.0718391587435762E-2</v>
      </c>
    </row>
    <row r="21" spans="1:11" s="263" customFormat="1" ht="21.3" thickBot="1" x14ac:dyDescent="0.4">
      <c r="A21" s="272" t="s">
        <v>186</v>
      </c>
      <c r="B21" s="295">
        <v>3.7</v>
      </c>
      <c r="C21" s="302">
        <f>D21*C9</f>
        <v>148000</v>
      </c>
      <c r="D21" s="415">
        <f>B21</f>
        <v>3.7</v>
      </c>
      <c r="E21" s="422">
        <v>0</v>
      </c>
      <c r="F21" s="420">
        <f>$F$10</f>
        <v>0.28286111111111112</v>
      </c>
      <c r="G21" s="282">
        <f>100%-F21</f>
        <v>0.71713888888888888</v>
      </c>
      <c r="H21" s="291">
        <f>C21*F21</f>
        <v>41863.444444444445</v>
      </c>
      <c r="I21" s="293">
        <f t="shared" si="0"/>
        <v>3.2808342041100662</v>
      </c>
      <c r="J21" s="291">
        <f>C21*G21</f>
        <v>106136.55555555555</v>
      </c>
      <c r="K21" s="293">
        <f t="shared" si="1"/>
        <v>3.3974569640062597</v>
      </c>
    </row>
    <row r="22" spans="1:11" s="263" customFormat="1" ht="17.55" thickBot="1" x14ac:dyDescent="0.3">
      <c r="A22" s="273" t="s">
        <v>187</v>
      </c>
      <c r="B22" s="265">
        <f>B18-B19</f>
        <v>2.7638297872340423</v>
      </c>
      <c r="C22" s="303">
        <f>C23+C24</f>
        <v>110553.19148936169</v>
      </c>
      <c r="D22" s="416">
        <f>C22/C9</f>
        <v>2.7638297872340423</v>
      </c>
      <c r="E22" s="422">
        <v>0</v>
      </c>
      <c r="F22" s="419">
        <f>(H22/C22)</f>
        <v>0.44168833333333335</v>
      </c>
      <c r="G22" s="282">
        <f>J22/C22</f>
        <v>0.55831166666666665</v>
      </c>
      <c r="H22" s="291">
        <f>H23+H24</f>
        <v>48830.054893617016</v>
      </c>
      <c r="I22" s="293">
        <f t="shared" si="0"/>
        <v>3.8268068098445935</v>
      </c>
      <c r="J22" s="291">
        <f>J23+J24</f>
        <v>61723.136595744669</v>
      </c>
      <c r="K22" s="293">
        <f t="shared" si="1"/>
        <v>1.9757726183016859</v>
      </c>
    </row>
    <row r="23" spans="1:11" s="263" customFormat="1" ht="17.55" thickBot="1" x14ac:dyDescent="0.3">
      <c r="A23" s="272" t="s">
        <v>188</v>
      </c>
      <c r="C23" s="302">
        <f>D23*C9</f>
        <v>37588.085106382976</v>
      </c>
      <c r="D23" s="417">
        <f>0.34*B22</f>
        <v>0.93970212765957439</v>
      </c>
      <c r="E23" s="422">
        <v>0</v>
      </c>
      <c r="F23" s="420">
        <v>0.75</v>
      </c>
      <c r="G23" s="282">
        <f>100%-F23</f>
        <v>0.25</v>
      </c>
      <c r="H23" s="291">
        <f>C23*F23</f>
        <v>28191.063829787232</v>
      </c>
      <c r="I23" s="293">
        <f t="shared" si="0"/>
        <v>2.2093310211431998</v>
      </c>
      <c r="J23" s="291">
        <f>C23*G23</f>
        <v>9397.021276595744</v>
      </c>
      <c r="K23" s="293">
        <f t="shared" si="1"/>
        <v>0.30080093715095213</v>
      </c>
    </row>
    <row r="24" spans="1:11" s="263" customFormat="1" ht="17.55" thickBot="1" x14ac:dyDescent="0.3">
      <c r="A24" s="273" t="s">
        <v>189</v>
      </c>
      <c r="C24" s="302">
        <f>D24*C9</f>
        <v>72965.106382978716</v>
      </c>
      <c r="D24" s="417">
        <f>0.66*B22</f>
        <v>1.824127659574468</v>
      </c>
      <c r="E24" s="422">
        <v>0</v>
      </c>
      <c r="F24" s="420">
        <f>$F$10</f>
        <v>0.28286111111111112</v>
      </c>
      <c r="G24" s="282">
        <f>100%-F24</f>
        <v>0.71713888888888888</v>
      </c>
      <c r="H24" s="291">
        <f>C24*F24</f>
        <v>20638.991063829784</v>
      </c>
      <c r="I24" s="293">
        <f t="shared" si="0"/>
        <v>1.6174757887013937</v>
      </c>
      <c r="J24" s="291">
        <f>C24*G24</f>
        <v>52326.115319148928</v>
      </c>
      <c r="K24" s="293">
        <f t="shared" si="1"/>
        <v>1.674971681150734</v>
      </c>
    </row>
    <row r="25" spans="1:11" s="263" customFormat="1" ht="21.3" thickBot="1" x14ac:dyDescent="0.4">
      <c r="A25" s="272" t="s">
        <v>190</v>
      </c>
      <c r="B25" s="295">
        <v>1.8</v>
      </c>
      <c r="C25" s="303">
        <f>C26+C29</f>
        <v>72000</v>
      </c>
      <c r="D25" s="415">
        <f>C25/C9</f>
        <v>1.8</v>
      </c>
      <c r="E25" s="422">
        <v>0</v>
      </c>
      <c r="F25" s="419">
        <f>(H25/C25)</f>
        <v>0.76271527777777781</v>
      </c>
      <c r="G25" s="282">
        <f>J25/C25</f>
        <v>0.23728472222222222</v>
      </c>
      <c r="H25" s="291">
        <f>H26+H29</f>
        <v>54915.5</v>
      </c>
      <c r="I25" s="293">
        <f t="shared" si="0"/>
        <v>4.3037225705329156</v>
      </c>
      <c r="J25" s="291">
        <f>J26+J29</f>
        <v>17084.5</v>
      </c>
      <c r="K25" s="293">
        <f t="shared" si="1"/>
        <v>0.54687900128040978</v>
      </c>
    </row>
    <row r="26" spans="1:11" s="263" customFormat="1" ht="17.55" thickBot="1" x14ac:dyDescent="0.3">
      <c r="A26" s="273" t="s">
        <v>191</v>
      </c>
      <c r="C26" s="303">
        <f>C27+C28</f>
        <v>3600.0000000000005</v>
      </c>
      <c r="D26" s="416">
        <f>C26/C9</f>
        <v>9.0000000000000011E-2</v>
      </c>
      <c r="E26" s="422">
        <v>0</v>
      </c>
      <c r="F26" s="419">
        <f>(H26/C26)</f>
        <v>0.6265722222222222</v>
      </c>
      <c r="G26" s="282">
        <f>J26/C26</f>
        <v>0.37342777777777786</v>
      </c>
      <c r="H26" s="291">
        <f>H27+H28</f>
        <v>2255.6600000000003</v>
      </c>
      <c r="I26" s="293">
        <f t="shared" si="0"/>
        <v>0.17677586206896553</v>
      </c>
      <c r="J26" s="291">
        <f>J27+J28</f>
        <v>1344.3400000000004</v>
      </c>
      <c r="K26" s="293">
        <f t="shared" si="1"/>
        <v>4.3032650448143417E-2</v>
      </c>
    </row>
    <row r="27" spans="1:11" s="263" customFormat="1" ht="17.55" thickBot="1" x14ac:dyDescent="0.3">
      <c r="A27" s="272" t="s">
        <v>192</v>
      </c>
      <c r="B27" s="100"/>
      <c r="C27" s="303">
        <f>D27*C9</f>
        <v>2880.0000000000005</v>
      </c>
      <c r="D27" s="416">
        <f>0.04*B25</f>
        <v>7.2000000000000008E-2</v>
      </c>
      <c r="E27" s="422">
        <v>0</v>
      </c>
      <c r="F27" s="420">
        <v>0.7</v>
      </c>
      <c r="G27" s="282">
        <f>100%-F27</f>
        <v>0.30000000000000004</v>
      </c>
      <c r="H27" s="291">
        <f>C27*F27</f>
        <v>2016.0000000000002</v>
      </c>
      <c r="I27" s="293">
        <f t="shared" si="0"/>
        <v>0.15799373040752354</v>
      </c>
      <c r="J27" s="291">
        <f>C27*G27</f>
        <v>864.00000000000023</v>
      </c>
      <c r="K27" s="293">
        <f t="shared" si="1"/>
        <v>2.7656850192061468E-2</v>
      </c>
    </row>
    <row r="28" spans="1:11" s="263" customFormat="1" ht="17.55" thickBot="1" x14ac:dyDescent="0.3">
      <c r="A28" s="273" t="s">
        <v>193</v>
      </c>
      <c r="B28" s="266">
        <v>5.8999999999999997E-2</v>
      </c>
      <c r="C28" s="302">
        <f>D28*C9</f>
        <v>720.00000000000011</v>
      </c>
      <c r="D28" s="417">
        <f>0.01*B25</f>
        <v>1.8000000000000002E-2</v>
      </c>
      <c r="E28" s="422">
        <v>0</v>
      </c>
      <c r="F28" s="420">
        <f>$F$10+5%</f>
        <v>0.33286111111111111</v>
      </c>
      <c r="G28" s="282">
        <f>100%-F28</f>
        <v>0.66713888888888895</v>
      </c>
      <c r="H28" s="291">
        <f>C28*F28</f>
        <v>239.66000000000003</v>
      </c>
      <c r="I28" s="294">
        <f t="shared" si="0"/>
        <v>1.8782131661442009E-2</v>
      </c>
      <c r="J28" s="291">
        <f>C28*G28</f>
        <v>480.34000000000015</v>
      </c>
      <c r="K28" s="293">
        <f t="shared" si="1"/>
        <v>1.5375800256081951E-2</v>
      </c>
    </row>
    <row r="29" spans="1:11" s="263" customFormat="1" ht="17.55" thickBot="1" x14ac:dyDescent="0.3">
      <c r="A29" s="272" t="s">
        <v>194</v>
      </c>
      <c r="B29" s="100"/>
      <c r="C29" s="303">
        <f>C30+C31</f>
        <v>68400</v>
      </c>
      <c r="D29" s="416">
        <f>C29/C9</f>
        <v>1.71</v>
      </c>
      <c r="E29" s="422">
        <v>0</v>
      </c>
      <c r="F29" s="419">
        <f>(H29/C29)</f>
        <v>0.76988070175438594</v>
      </c>
      <c r="G29" s="282">
        <f>J29/C29</f>
        <v>0.23011929824561403</v>
      </c>
      <c r="H29" s="291">
        <f>H30+H31</f>
        <v>52659.839999999997</v>
      </c>
      <c r="I29" s="293">
        <f t="shared" si="0"/>
        <v>4.12694670846395</v>
      </c>
      <c r="J29" s="291">
        <f>J30+J31</f>
        <v>15740.16</v>
      </c>
      <c r="K29" s="293">
        <f t="shared" si="1"/>
        <v>0.50384635083226637</v>
      </c>
    </row>
    <row r="30" spans="1:11" s="263" customFormat="1" ht="17.55" thickBot="1" x14ac:dyDescent="0.3">
      <c r="A30" s="273" t="s">
        <v>195</v>
      </c>
      <c r="B30" s="100"/>
      <c r="C30" s="302">
        <f>D30*C9</f>
        <v>51120</v>
      </c>
      <c r="D30" s="417">
        <f>0.71*B25</f>
        <v>1.278</v>
      </c>
      <c r="E30" s="422">
        <v>0</v>
      </c>
      <c r="F30" s="420">
        <v>0.85</v>
      </c>
      <c r="G30" s="282">
        <f>100%-F30</f>
        <v>0.15000000000000002</v>
      </c>
      <c r="H30" s="291">
        <f>C30*F30</f>
        <v>43452</v>
      </c>
      <c r="I30" s="293">
        <f t="shared" si="0"/>
        <v>3.4053291536050159</v>
      </c>
      <c r="J30" s="291">
        <f>C30*G30</f>
        <v>7668.0000000000009</v>
      </c>
      <c r="K30" s="293">
        <f t="shared" si="1"/>
        <v>0.24545454545454548</v>
      </c>
    </row>
    <row r="31" spans="1:11" s="263" customFormat="1" ht="17.55" thickBot="1" x14ac:dyDescent="0.3">
      <c r="A31" s="272" t="s">
        <v>196</v>
      </c>
      <c r="B31" s="100"/>
      <c r="C31" s="302">
        <f>D31*C9</f>
        <v>17280</v>
      </c>
      <c r="D31" s="417">
        <f>0.24*B25</f>
        <v>0.432</v>
      </c>
      <c r="E31" s="422">
        <v>0</v>
      </c>
      <c r="F31" s="420">
        <f>$F$10+25%</f>
        <v>0.53286111111111112</v>
      </c>
      <c r="G31" s="282">
        <f>100%-F31</f>
        <v>0.46713888888888888</v>
      </c>
      <c r="H31" s="291">
        <f>C31*F31</f>
        <v>9207.84</v>
      </c>
      <c r="I31" s="293">
        <f t="shared" si="0"/>
        <v>0.7216175548589342</v>
      </c>
      <c r="J31" s="291">
        <f>C31*G31</f>
        <v>8072.16</v>
      </c>
      <c r="K31" s="293">
        <f t="shared" si="1"/>
        <v>0.25839180537772088</v>
      </c>
    </row>
    <row r="32" spans="1:11" s="263" customFormat="1" ht="21.3" thickBot="1" x14ac:dyDescent="0.4">
      <c r="A32" s="273" t="s">
        <v>197</v>
      </c>
      <c r="B32" s="295">
        <f>6.2*0.83</f>
        <v>5.1459999999999999</v>
      </c>
      <c r="C32" s="303">
        <f>C33</f>
        <v>205840</v>
      </c>
      <c r="D32" s="415">
        <f>C32/C9</f>
        <v>5.1459999999999999</v>
      </c>
      <c r="E32" s="422">
        <v>0</v>
      </c>
      <c r="F32" s="419">
        <f>(H32/C32)</f>
        <v>0.28526055555555557</v>
      </c>
      <c r="G32" s="282">
        <f>J32/C32</f>
        <v>0.71473944444444448</v>
      </c>
      <c r="H32" s="291">
        <f>H33</f>
        <v>58718.032755555556</v>
      </c>
      <c r="I32" s="293">
        <f t="shared" si="0"/>
        <v>4.6017267049808428</v>
      </c>
      <c r="J32" s="291">
        <f>J33</f>
        <v>147121.96724444444</v>
      </c>
      <c r="K32" s="293">
        <f t="shared" si="1"/>
        <v>4.7094099630103852</v>
      </c>
    </row>
    <row r="33" spans="1:12" s="263" customFormat="1" ht="17.55" thickBot="1" x14ac:dyDescent="0.3">
      <c r="A33" s="272" t="s">
        <v>198</v>
      </c>
      <c r="C33" s="303">
        <f>C34+C35</f>
        <v>205840</v>
      </c>
      <c r="D33" s="416">
        <f>C33/C9</f>
        <v>5.1459999999999999</v>
      </c>
      <c r="E33" s="422">
        <v>0</v>
      </c>
      <c r="F33" s="419">
        <f>(H33/C33)</f>
        <v>0.28526055555555557</v>
      </c>
      <c r="G33" s="282">
        <f>J33/C33</f>
        <v>0.71473944444444448</v>
      </c>
      <c r="H33" s="291">
        <f>H34+H35</f>
        <v>58718.032755555556</v>
      </c>
      <c r="I33" s="293">
        <f t="shared" si="0"/>
        <v>4.6017267049808428</v>
      </c>
      <c r="J33" s="291">
        <f>J34+J35</f>
        <v>147121.96724444444</v>
      </c>
      <c r="K33" s="293">
        <f t="shared" si="1"/>
        <v>4.7094099630103852</v>
      </c>
    </row>
    <row r="34" spans="1:12" s="263" customFormat="1" ht="17.55" thickBot="1" x14ac:dyDescent="0.3">
      <c r="A34" s="273" t="s">
        <v>199</v>
      </c>
      <c r="B34" s="100"/>
      <c r="C34" s="303">
        <f>D34*C9</f>
        <v>28817.600000000002</v>
      </c>
      <c r="D34" s="416">
        <f>0.14*B32</f>
        <v>0.72044000000000008</v>
      </c>
      <c r="E34" s="422">
        <v>0</v>
      </c>
      <c r="F34" s="420">
        <v>0.3</v>
      </c>
      <c r="G34" s="282">
        <f>100%-F34</f>
        <v>0.7</v>
      </c>
      <c r="H34" s="291">
        <f>C34*F34</f>
        <v>8645.2800000000007</v>
      </c>
      <c r="I34" s="293">
        <f t="shared" si="0"/>
        <v>0.67752978056426338</v>
      </c>
      <c r="J34" s="291">
        <f>C34*G34</f>
        <v>20172.32</v>
      </c>
      <c r="K34" s="293">
        <f t="shared" si="1"/>
        <v>0.64572087067861716</v>
      </c>
    </row>
    <row r="35" spans="1:12" s="263" customFormat="1" ht="17.55" thickBot="1" x14ac:dyDescent="0.3">
      <c r="A35" s="272" t="s">
        <v>200</v>
      </c>
      <c r="B35" s="100"/>
      <c r="C35" s="302">
        <f>D35*C9</f>
        <v>177022.4</v>
      </c>
      <c r="D35" s="417">
        <f>0.86*B32</f>
        <v>4.4255599999999999</v>
      </c>
      <c r="E35" s="423">
        <v>0</v>
      </c>
      <c r="F35" s="420">
        <f>$F$10</f>
        <v>0.28286111111111112</v>
      </c>
      <c r="G35" s="282">
        <f>100%-F35</f>
        <v>0.71713888888888888</v>
      </c>
      <c r="H35" s="291">
        <f>C35*F35</f>
        <v>50072.752755555557</v>
      </c>
      <c r="I35" s="293">
        <f t="shared" si="0"/>
        <v>3.9241969244165795</v>
      </c>
      <c r="J35" s="291">
        <f>C35*G35</f>
        <v>126949.64724444444</v>
      </c>
      <c r="K35" s="293">
        <f t="shared" si="1"/>
        <v>4.0636890923317681</v>
      </c>
    </row>
    <row r="36" spans="1:12" ht="14.4" x14ac:dyDescent="0.25">
      <c r="A36" s="90"/>
      <c r="C36" s="92"/>
      <c r="D36" s="92"/>
      <c r="H36" s="90"/>
      <c r="J36" s="113"/>
      <c r="L36" s="113"/>
    </row>
    <row r="37" spans="1:12" ht="14.4" x14ac:dyDescent="0.25">
      <c r="A37" s="263"/>
      <c r="C37" s="92"/>
      <c r="D37" s="92"/>
      <c r="H37" s="90"/>
      <c r="J37" s="113"/>
      <c r="L37" s="113"/>
    </row>
    <row r="38" spans="1:12" x14ac:dyDescent="0.3">
      <c r="A38" s="263"/>
      <c r="C38" s="92"/>
      <c r="D38" s="92"/>
    </row>
  </sheetData>
  <mergeCells count="5">
    <mergeCell ref="C1:D1"/>
    <mergeCell ref="F1:G1"/>
    <mergeCell ref="H1:I1"/>
    <mergeCell ref="J1:K1"/>
    <mergeCell ref="E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F8889-5977-48E1-977F-6AED01477912}">
  <dimension ref="A1:L38"/>
  <sheetViews>
    <sheetView zoomScale="60" zoomScaleNormal="60" workbookViewId="0">
      <pane xSplit="1" ySplit="3" topLeftCell="C4" activePane="bottomRight" state="frozen"/>
      <selection pane="topRight" activeCell="C1" sqref="C1"/>
      <selection pane="bottomLeft" activeCell="A4" sqref="A4"/>
      <selection pane="bottomRight" activeCell="E16" sqref="E16"/>
    </sheetView>
  </sheetViews>
  <sheetFormatPr defaultColWidth="10.796875" defaultRowHeight="14.4" x14ac:dyDescent="0.25"/>
  <cols>
    <col min="1" max="1" width="33.3984375" style="93" customWidth="1"/>
    <col min="2" max="2" width="32.09765625" style="114" customWidth="1"/>
    <col min="3" max="3" width="13.296875" style="114" customWidth="1"/>
    <col min="4" max="4" width="27.69921875" style="114" customWidth="1"/>
    <col min="5" max="5" width="24.796875" style="114" customWidth="1"/>
    <col min="6" max="6" width="37.8984375" style="114" customWidth="1"/>
    <col min="7" max="7" width="29.5" style="114" customWidth="1"/>
    <col min="8" max="8" width="22.19921875" style="114" customWidth="1"/>
    <col min="9" max="9" width="28.5" style="114" customWidth="1"/>
    <col min="10" max="10" width="19.19921875" style="114" customWidth="1"/>
    <col min="11" max="11" width="23.69921875" style="114" customWidth="1"/>
    <col min="13" max="16384" width="10.796875" style="114"/>
  </cols>
  <sheetData>
    <row r="1" spans="1:12" s="263" customFormat="1" ht="28.2" thickBot="1" x14ac:dyDescent="0.5">
      <c r="A1" s="271"/>
      <c r="B1" s="295" t="s">
        <v>359</v>
      </c>
      <c r="C1" s="496" t="s">
        <v>363</v>
      </c>
      <c r="D1" s="497"/>
      <c r="E1" s="279"/>
      <c r="F1" s="498" t="s">
        <v>371</v>
      </c>
      <c r="G1" s="499"/>
      <c r="H1" s="500" t="s">
        <v>49</v>
      </c>
      <c r="I1" s="500"/>
      <c r="J1" s="500" t="s">
        <v>64</v>
      </c>
      <c r="K1" s="500"/>
    </row>
    <row r="2" spans="1:12" s="263" customFormat="1" ht="75.8" thickBot="1" x14ac:dyDescent="0.45">
      <c r="A2" s="271"/>
      <c r="B2" s="316" t="s">
        <v>372</v>
      </c>
      <c r="C2" s="321" t="s">
        <v>171</v>
      </c>
      <c r="D2" s="319" t="s">
        <v>360</v>
      </c>
      <c r="E2" s="317" t="s">
        <v>364</v>
      </c>
      <c r="F2" s="268" t="s">
        <v>366</v>
      </c>
      <c r="G2" s="268" t="s">
        <v>362</v>
      </c>
      <c r="H2" s="289" t="s">
        <v>1</v>
      </c>
      <c r="I2" s="290" t="s">
        <v>113</v>
      </c>
      <c r="J2" s="289" t="s">
        <v>1</v>
      </c>
      <c r="K2" s="290" t="s">
        <v>113</v>
      </c>
      <c r="L2" s="289"/>
    </row>
    <row r="3" spans="1:12" s="263" customFormat="1" ht="18.2" thickBot="1" x14ac:dyDescent="0.35">
      <c r="A3" s="271"/>
      <c r="B3" s="95"/>
      <c r="C3" s="322"/>
      <c r="D3" s="320" t="s">
        <v>130</v>
      </c>
      <c r="E3" s="279"/>
      <c r="I3" s="276" t="s">
        <v>130</v>
      </c>
      <c r="K3" s="276" t="s">
        <v>130</v>
      </c>
    </row>
    <row r="4" spans="1:12" s="263" customFormat="1" ht="17.55" x14ac:dyDescent="0.3">
      <c r="A4" s="93"/>
      <c r="E4" s="494" t="str">
        <f>CONCATENATE(E5,"% polymer solution")</f>
        <v>0,5% polymer solution</v>
      </c>
      <c r="F4" s="495"/>
    </row>
    <row r="5" spans="1:12" ht="18.2" x14ac:dyDescent="0.35">
      <c r="C5" s="88"/>
      <c r="E5" s="305">
        <v>0.5</v>
      </c>
      <c r="F5" s="308" t="s">
        <v>14</v>
      </c>
      <c r="G5" s="88"/>
      <c r="H5" s="88"/>
      <c r="I5" s="112"/>
      <c r="J5" s="88"/>
      <c r="K5" s="101"/>
    </row>
    <row r="6" spans="1:12" ht="17.55" x14ac:dyDescent="0.3">
      <c r="C6" s="88"/>
      <c r="D6" s="88"/>
      <c r="E6" s="307">
        <f>E5*10</f>
        <v>5</v>
      </c>
      <c r="F6" s="306" t="s">
        <v>365</v>
      </c>
      <c r="G6" s="263"/>
    </row>
    <row r="7" spans="1:12" ht="18.2" x14ac:dyDescent="0.35">
      <c r="B7" s="96"/>
      <c r="C7" s="88"/>
      <c r="D7" s="88"/>
      <c r="E7" s="305">
        <v>1</v>
      </c>
      <c r="F7" s="306" t="s">
        <v>201</v>
      </c>
      <c r="G7" s="95"/>
      <c r="H7" s="95"/>
      <c r="I7" s="96"/>
      <c r="J7" s="96"/>
      <c r="K7" s="96"/>
    </row>
    <row r="8" spans="1:12" ht="15.05" customHeight="1" thickBot="1" x14ac:dyDescent="0.4">
      <c r="C8" s="91"/>
      <c r="D8" s="91"/>
      <c r="E8" s="305">
        <v>20</v>
      </c>
      <c r="F8" s="310" t="str">
        <f>CONCATENATE("L ",E4,"/ton input")</f>
        <v>L 0,5% polymer solution/ton input</v>
      </c>
      <c r="G8" s="95"/>
      <c r="H8" s="95"/>
      <c r="I8" s="95"/>
      <c r="J8" s="95"/>
      <c r="K8" s="95"/>
    </row>
    <row r="9" spans="1:12" s="263" customFormat="1" ht="21.3" thickBot="1" x14ac:dyDescent="0.4">
      <c r="A9" s="272" t="s">
        <v>361</v>
      </c>
      <c r="B9" s="295">
        <v>934</v>
      </c>
      <c r="C9" s="280">
        <f>B9</f>
        <v>934</v>
      </c>
      <c r="D9" s="411"/>
      <c r="E9" s="421">
        <f>(E8*E7/1000)*C9</f>
        <v>18.68</v>
      </c>
      <c r="F9" s="418">
        <v>0.2</v>
      </c>
      <c r="G9" s="282">
        <f>100%-F9</f>
        <v>0.8</v>
      </c>
      <c r="H9" s="291">
        <f>(C9+E9)*F9</f>
        <v>190.536</v>
      </c>
      <c r="I9" s="292"/>
      <c r="J9" s="291">
        <f>(C9+E9)*G9</f>
        <v>762.14400000000001</v>
      </c>
      <c r="K9" s="292"/>
    </row>
    <row r="10" spans="1:12" s="263" customFormat="1" ht="17.55" thickBot="1" x14ac:dyDescent="0.3">
      <c r="A10" s="273" t="s">
        <v>175</v>
      </c>
      <c r="C10" s="283">
        <f>(C9*1000)-C11</f>
        <v>872356</v>
      </c>
      <c r="D10" s="412">
        <f>C10/C9</f>
        <v>934</v>
      </c>
      <c r="E10" s="422">
        <f>(E9*1000)-E11</f>
        <v>18586.599999999999</v>
      </c>
      <c r="F10" s="419">
        <f>(H10/C10)</f>
        <v>0.17553533190578158</v>
      </c>
      <c r="G10" s="282">
        <f>100%-F10</f>
        <v>0.82446466809421848</v>
      </c>
      <c r="H10" s="291">
        <f>(H9*1000)-H11</f>
        <v>153129.29999999999</v>
      </c>
      <c r="I10" s="293">
        <f>H10/H9</f>
        <v>803.67647058823525</v>
      </c>
      <c r="J10" s="291">
        <f>(J9*1000)-J11</f>
        <v>737813.3</v>
      </c>
      <c r="K10" s="293">
        <f>J10/J9</f>
        <v>968.07598039215691</v>
      </c>
    </row>
    <row r="11" spans="1:12" s="263" customFormat="1" ht="21.3" thickBot="1" x14ac:dyDescent="0.4">
      <c r="A11" s="272" t="s">
        <v>176</v>
      </c>
      <c r="B11" s="295">
        <v>66</v>
      </c>
      <c r="C11" s="280">
        <f>C12+C15</f>
        <v>61644</v>
      </c>
      <c r="D11" s="413">
        <f>C11/C9</f>
        <v>66</v>
      </c>
      <c r="E11" s="422">
        <f>E12+E15</f>
        <v>93.4</v>
      </c>
      <c r="F11" s="419">
        <f>(H11/C11)</f>
        <v>0.60681818181818181</v>
      </c>
      <c r="G11" s="282">
        <f>J11/C11</f>
        <v>0.39469696969696966</v>
      </c>
      <c r="H11" s="291">
        <f>H12+H15</f>
        <v>37406.699999999997</v>
      </c>
      <c r="I11" s="293">
        <f>H11/H9</f>
        <v>196.3235294117647</v>
      </c>
      <c r="J11" s="291">
        <f>J12+J15</f>
        <v>24330.699999999997</v>
      </c>
      <c r="K11" s="293">
        <f>J11/J9</f>
        <v>31.924019607843132</v>
      </c>
    </row>
    <row r="12" spans="1:12" s="263" customFormat="1" ht="17.55" thickBot="1" x14ac:dyDescent="0.3">
      <c r="A12" s="273" t="s">
        <v>177</v>
      </c>
      <c r="B12" s="265">
        <f>B11-B15</f>
        <v>40</v>
      </c>
      <c r="C12" s="280">
        <f>C13+C14</f>
        <v>37360</v>
      </c>
      <c r="D12" s="414">
        <f>C12/C9</f>
        <v>40</v>
      </c>
      <c r="E12" s="422">
        <f>E13+E14</f>
        <v>0</v>
      </c>
      <c r="F12" s="419">
        <f>(H12/C12)</f>
        <v>0.57000000000000006</v>
      </c>
      <c r="G12" s="282">
        <f>J12/C12</f>
        <v>0.43</v>
      </c>
      <c r="H12" s="291">
        <f>H13+H14</f>
        <v>21295.200000000001</v>
      </c>
      <c r="I12" s="293">
        <f>H12/H9</f>
        <v>111.76470588235294</v>
      </c>
      <c r="J12" s="291">
        <f>J13+J14</f>
        <v>16064.8</v>
      </c>
      <c r="K12" s="293">
        <f>J12/J9</f>
        <v>21.078431372549019</v>
      </c>
    </row>
    <row r="13" spans="1:12" s="263" customFormat="1" ht="17.55" thickBot="1" x14ac:dyDescent="0.3">
      <c r="A13" s="272" t="s">
        <v>178</v>
      </c>
      <c r="C13" s="283">
        <f>D13*C9</f>
        <v>7472</v>
      </c>
      <c r="D13" s="412">
        <f>0.2*B12</f>
        <v>8</v>
      </c>
      <c r="E13" s="422">
        <v>0</v>
      </c>
      <c r="F13" s="420">
        <v>0.85</v>
      </c>
      <c r="G13" s="282">
        <f t="shared" ref="G13:G14" si="0">100%-F13</f>
        <v>0.15000000000000002</v>
      </c>
      <c r="H13" s="291">
        <f>(C13+E13)*F13</f>
        <v>6351.2</v>
      </c>
      <c r="I13" s="293">
        <f>H13/H9</f>
        <v>33.333333333333329</v>
      </c>
      <c r="J13" s="291">
        <f>(C13+E13)*G13</f>
        <v>1120.8000000000002</v>
      </c>
      <c r="K13" s="293">
        <f>J13/J9</f>
        <v>1.470588235294118</v>
      </c>
    </row>
    <row r="14" spans="1:12" s="263" customFormat="1" ht="17.55" thickBot="1" x14ac:dyDescent="0.3">
      <c r="A14" s="273" t="s">
        <v>179</v>
      </c>
      <c r="C14" s="302">
        <f>D14*C9</f>
        <v>29888</v>
      </c>
      <c r="D14" s="412">
        <f>0.8*B12</f>
        <v>32</v>
      </c>
      <c r="E14" s="422">
        <v>0</v>
      </c>
      <c r="F14" s="420">
        <v>0.5</v>
      </c>
      <c r="G14" s="282">
        <f t="shared" si="0"/>
        <v>0.5</v>
      </c>
      <c r="H14" s="291">
        <f>(C14+E14)*F14</f>
        <v>14944</v>
      </c>
      <c r="I14" s="293">
        <f>H14/H9</f>
        <v>78.431372549019613</v>
      </c>
      <c r="J14" s="291">
        <f>(C14+E14)*G14</f>
        <v>14944</v>
      </c>
      <c r="K14" s="293">
        <f>J14/J9</f>
        <v>19.607843137254903</v>
      </c>
    </row>
    <row r="15" spans="1:12" s="263" customFormat="1" ht="21.3" thickBot="1" x14ac:dyDescent="0.4">
      <c r="A15" s="272" t="s">
        <v>180</v>
      </c>
      <c r="B15" s="295">
        <v>26</v>
      </c>
      <c r="C15" s="303">
        <f>C16+C17</f>
        <v>24284</v>
      </c>
      <c r="D15" s="413">
        <f>C15/C9</f>
        <v>26</v>
      </c>
      <c r="E15" s="422">
        <f>E16+E17</f>
        <v>93.4</v>
      </c>
      <c r="F15" s="419">
        <f>(H15/C15)</f>
        <v>0.66346153846153844</v>
      </c>
      <c r="G15" s="282">
        <f>J15/C15</f>
        <v>0.3403846153846154</v>
      </c>
      <c r="H15" s="291">
        <f>H16+H17</f>
        <v>16111.5</v>
      </c>
      <c r="I15" s="293">
        <f>H15/H9</f>
        <v>84.558823529411768</v>
      </c>
      <c r="J15" s="291">
        <f>J16+J17</f>
        <v>8265.9</v>
      </c>
      <c r="K15" s="293">
        <f>J15/J9</f>
        <v>10.845588235294118</v>
      </c>
    </row>
    <row r="16" spans="1:12" s="263" customFormat="1" ht="17.55" thickBot="1" x14ac:dyDescent="0.3">
      <c r="A16" s="273" t="s">
        <v>181</v>
      </c>
      <c r="C16" s="302">
        <f>D16*C9</f>
        <v>9713.6</v>
      </c>
      <c r="D16" s="412">
        <f>0.4*B15</f>
        <v>10.4</v>
      </c>
      <c r="E16" s="422">
        <f>E6*E9</f>
        <v>93.4</v>
      </c>
      <c r="F16" s="420">
        <v>0.9</v>
      </c>
      <c r="G16" s="282">
        <f>100%-F16</f>
        <v>9.9999999999999978E-2</v>
      </c>
      <c r="H16" s="291">
        <f>(C16+E16)*F16</f>
        <v>8826.3000000000011</v>
      </c>
      <c r="I16" s="293">
        <f>H16/H9</f>
        <v>46.32352941176471</v>
      </c>
      <c r="J16" s="291">
        <f>(C16+E16)*G16</f>
        <v>980.69999999999982</v>
      </c>
      <c r="K16" s="293">
        <f>J16/J9</f>
        <v>1.2867647058823526</v>
      </c>
    </row>
    <row r="17" spans="1:11" s="263" customFormat="1" ht="17.55" thickBot="1" x14ac:dyDescent="0.3">
      <c r="A17" s="272" t="s">
        <v>182</v>
      </c>
      <c r="C17" s="302">
        <f>D17*C9</f>
        <v>14570.4</v>
      </c>
      <c r="D17" s="412">
        <f>0.6*B15</f>
        <v>15.6</v>
      </c>
      <c r="E17" s="422">
        <v>0</v>
      </c>
      <c r="F17" s="420">
        <v>0.5</v>
      </c>
      <c r="G17" s="282">
        <f>100%-F17</f>
        <v>0.5</v>
      </c>
      <c r="H17" s="291">
        <f>(C17+E17)*F17</f>
        <v>7285.2</v>
      </c>
      <c r="I17" s="293">
        <f>H17/H9</f>
        <v>38.235294117647058</v>
      </c>
      <c r="J17" s="291">
        <f>(C17+E17)*G17</f>
        <v>7285.2</v>
      </c>
      <c r="K17" s="293">
        <f>J17/J9</f>
        <v>9.5588235294117645</v>
      </c>
    </row>
    <row r="18" spans="1:11" s="263" customFormat="1" ht="21.3" thickBot="1" x14ac:dyDescent="0.4">
      <c r="A18" s="273" t="s">
        <v>183</v>
      </c>
      <c r="B18" s="295">
        <v>6.5</v>
      </c>
      <c r="C18" s="303">
        <f>C19+C22</f>
        <v>6071</v>
      </c>
      <c r="D18" s="415">
        <f>C18/C9</f>
        <v>6.5</v>
      </c>
      <c r="E18" s="422">
        <v>0</v>
      </c>
      <c r="F18" s="419">
        <f>(H18/C18)</f>
        <v>0.24522364782695547</v>
      </c>
      <c r="G18" s="282">
        <f>J18/C18</f>
        <v>0.75477635217304462</v>
      </c>
      <c r="H18" s="291">
        <f>H19+H22</f>
        <v>1488.7527659574466</v>
      </c>
      <c r="I18" s="293">
        <f>H18/H9</f>
        <v>7.8134985827216203</v>
      </c>
      <c r="J18" s="291">
        <f>J19+J22</f>
        <v>4582.2472340425538</v>
      </c>
      <c r="K18" s="293">
        <f>J18/J9</f>
        <v>6.0123116288293996</v>
      </c>
    </row>
    <row r="19" spans="1:11" s="263" customFormat="1" ht="17.55" thickBot="1" x14ac:dyDescent="0.3">
      <c r="A19" s="272" t="s">
        <v>184</v>
      </c>
      <c r="B19" s="265">
        <f>D21/0.94</f>
        <v>4.2553191489361701</v>
      </c>
      <c r="C19" s="303">
        <f>C20+C21</f>
        <v>3974.4680851063831</v>
      </c>
      <c r="D19" s="416">
        <f>C19/C9</f>
        <v>4.2553191489361701</v>
      </c>
      <c r="E19" s="422">
        <v>0</v>
      </c>
      <c r="F19" s="419">
        <f>(H19/C19)</f>
        <v>0.19500321199143467</v>
      </c>
      <c r="G19" s="282">
        <f>J19/C19</f>
        <v>0.80499678800856533</v>
      </c>
      <c r="H19" s="291">
        <f>H20+H21</f>
        <v>775.0340425531914</v>
      </c>
      <c r="I19" s="293">
        <f>H19/H9</f>
        <v>4.0676514808392712</v>
      </c>
      <c r="J19" s="291">
        <f>J20+J21</f>
        <v>3199.4340425531918</v>
      </c>
      <c r="K19" s="293">
        <f>J19/J9</f>
        <v>4.1979390279962736</v>
      </c>
    </row>
    <row r="20" spans="1:11" s="263" customFormat="1" ht="17.55" thickBot="1" x14ac:dyDescent="0.3">
      <c r="A20" s="273" t="s">
        <v>185</v>
      </c>
      <c r="C20" s="303">
        <f>D20*C9</f>
        <v>238.46808510638292</v>
      </c>
      <c r="D20" s="416">
        <f>B19-D21</f>
        <v>0.25531914893617014</v>
      </c>
      <c r="E20" s="422">
        <v>0</v>
      </c>
      <c r="F20" s="420">
        <v>0.5</v>
      </c>
      <c r="G20" s="282">
        <f>100%-F20</f>
        <v>0.5</v>
      </c>
      <c r="H20" s="291">
        <f>(C20+E20)*F20</f>
        <v>119.23404255319146</v>
      </c>
      <c r="I20" s="293">
        <f>H20/H9</f>
        <v>0.62578222778473069</v>
      </c>
      <c r="J20" s="291">
        <f>(C20+E20)*G20</f>
        <v>119.23404255319146</v>
      </c>
      <c r="K20" s="293">
        <f>J20/J9</f>
        <v>0.15644555694618267</v>
      </c>
    </row>
    <row r="21" spans="1:11" s="263" customFormat="1" ht="21.3" thickBot="1" x14ac:dyDescent="0.4">
      <c r="A21" s="272" t="s">
        <v>186</v>
      </c>
      <c r="B21" s="295">
        <v>4</v>
      </c>
      <c r="C21" s="302">
        <f>D21*C9</f>
        <v>3736</v>
      </c>
      <c r="D21" s="415">
        <f>B21</f>
        <v>4</v>
      </c>
      <c r="E21" s="422">
        <v>0</v>
      </c>
      <c r="F21" s="420">
        <f>$F$10</f>
        <v>0.17553533190578158</v>
      </c>
      <c r="G21" s="282">
        <f>100%-F21</f>
        <v>0.82446466809421848</v>
      </c>
      <c r="H21" s="291">
        <f>(C21+E21)*F21</f>
        <v>655.8</v>
      </c>
      <c r="I21" s="293">
        <f>H21/H9</f>
        <v>3.4418692530545405</v>
      </c>
      <c r="J21" s="291">
        <f>(C21+E21)*G21</f>
        <v>3080.2000000000003</v>
      </c>
      <c r="K21" s="293">
        <f>J21/J9</f>
        <v>4.0414934710500905</v>
      </c>
    </row>
    <row r="22" spans="1:11" s="263" customFormat="1" ht="17.55" thickBot="1" x14ac:dyDescent="0.3">
      <c r="A22" s="273" t="s">
        <v>187</v>
      </c>
      <c r="B22" s="265">
        <f>B18-B19</f>
        <v>2.2446808510638299</v>
      </c>
      <c r="C22" s="303">
        <f>C23+C24</f>
        <v>2096.5319148936173</v>
      </c>
      <c r="D22" s="416">
        <f>C22/C9</f>
        <v>2.2446808510638303</v>
      </c>
      <c r="E22" s="422">
        <v>0</v>
      </c>
      <c r="F22" s="419">
        <f>(H22/C22)</f>
        <v>0.34042826552462524</v>
      </c>
      <c r="G22" s="282">
        <f>J22/C22</f>
        <v>0.65957173447537465</v>
      </c>
      <c r="H22" s="291">
        <f>H23+H24</f>
        <v>713.71872340425534</v>
      </c>
      <c r="I22" s="293">
        <f>H22/H9</f>
        <v>3.7458471018823496</v>
      </c>
      <c r="J22" s="291">
        <f>J23+J24</f>
        <v>1382.8131914893618</v>
      </c>
      <c r="K22" s="293">
        <f>J22/J9</f>
        <v>1.8143726008331258</v>
      </c>
    </row>
    <row r="23" spans="1:11" s="263" customFormat="1" ht="17.55" thickBot="1" x14ac:dyDescent="0.3">
      <c r="A23" s="272" t="s">
        <v>188</v>
      </c>
      <c r="C23" s="302">
        <f>D23*C9</f>
        <v>419.30638297872343</v>
      </c>
      <c r="D23" s="417">
        <f>0.2*B22</f>
        <v>0.44893617021276599</v>
      </c>
      <c r="E23" s="422">
        <v>0</v>
      </c>
      <c r="F23" s="420">
        <v>0.8</v>
      </c>
      <c r="G23" s="282">
        <f>100%-F23</f>
        <v>0.19999999999999996</v>
      </c>
      <c r="H23" s="291">
        <f>(C23+E23)*F23</f>
        <v>335.44510638297879</v>
      </c>
      <c r="I23" s="293">
        <f>H23/H9</f>
        <v>1.7605340008343766</v>
      </c>
      <c r="J23" s="291">
        <f>(C23+E23)*G23</f>
        <v>83.86127659574467</v>
      </c>
      <c r="K23" s="293">
        <f>J23/J9</f>
        <v>0.11003337505214851</v>
      </c>
    </row>
    <row r="24" spans="1:11" s="263" customFormat="1" ht="17.55" thickBot="1" x14ac:dyDescent="0.3">
      <c r="A24" s="273" t="s">
        <v>189</v>
      </c>
      <c r="C24" s="302">
        <f>D24*C9</f>
        <v>1677.2255319148937</v>
      </c>
      <c r="D24" s="417">
        <f>0.8*B22</f>
        <v>1.795744680851064</v>
      </c>
      <c r="E24" s="422">
        <v>0</v>
      </c>
      <c r="F24" s="420">
        <f>$F$10+5%</f>
        <v>0.22553533190578157</v>
      </c>
      <c r="G24" s="282">
        <f>100%-F24</f>
        <v>0.77446466809421843</v>
      </c>
      <c r="H24" s="291">
        <f>(C24+E24)*F24</f>
        <v>378.27361702127661</v>
      </c>
      <c r="I24" s="293">
        <f>H24/H9</f>
        <v>1.9853131010479732</v>
      </c>
      <c r="J24" s="291">
        <f>(C24+E24)*G24</f>
        <v>1298.9519148936172</v>
      </c>
      <c r="K24" s="293">
        <f>J24/J9</f>
        <v>1.7043392257809773</v>
      </c>
    </row>
    <row r="25" spans="1:11" s="263" customFormat="1" ht="21.3" thickBot="1" x14ac:dyDescent="0.4">
      <c r="A25" s="272" t="s">
        <v>190</v>
      </c>
      <c r="B25" s="295">
        <v>1.1000000000000001</v>
      </c>
      <c r="C25" s="303">
        <f>C26+C29</f>
        <v>1006.8520000000001</v>
      </c>
      <c r="D25" s="415">
        <f>C25/C9</f>
        <v>1.0780000000000001</v>
      </c>
      <c r="E25" s="422">
        <v>0</v>
      </c>
      <c r="F25" s="419">
        <f>(H25/C25)</f>
        <v>0.49131724424245071</v>
      </c>
      <c r="G25" s="282">
        <f>J25/C25</f>
        <v>0.50868275575754929</v>
      </c>
      <c r="H25" s="291">
        <f>H26+H29</f>
        <v>494.68375000000003</v>
      </c>
      <c r="I25" s="293">
        <f>H25/H9</f>
        <v>2.5962744573204017</v>
      </c>
      <c r="J25" s="291">
        <f>J26+J29</f>
        <v>512.16825000000006</v>
      </c>
      <c r="K25" s="293">
        <f>J25/J9</f>
        <v>0.67200981704244878</v>
      </c>
    </row>
    <row r="26" spans="1:11" s="263" customFormat="1" ht="17.55" thickBot="1" x14ac:dyDescent="0.3">
      <c r="A26" s="273" t="s">
        <v>191</v>
      </c>
      <c r="C26" s="303">
        <f>C27+C28</f>
        <v>51.370000000000005</v>
      </c>
      <c r="D26" s="416">
        <f>C26/C9</f>
        <v>5.5000000000000007E-2</v>
      </c>
      <c r="E26" s="422">
        <v>0</v>
      </c>
      <c r="F26" s="419">
        <f>(H26/C26)</f>
        <v>0.19021413276231261</v>
      </c>
      <c r="G26" s="282">
        <f>J26/C26</f>
        <v>0.80978586723768742</v>
      </c>
      <c r="H26" s="291">
        <f>H27+H28</f>
        <v>9.7713000000000001</v>
      </c>
      <c r="I26" s="293">
        <f>H26/H9</f>
        <v>5.1283222068270566E-2</v>
      </c>
      <c r="J26" s="291">
        <f>J27+J28</f>
        <v>41.598700000000008</v>
      </c>
      <c r="K26" s="293">
        <f>J26/J9</f>
        <v>5.4581155267246093E-2</v>
      </c>
    </row>
    <row r="27" spans="1:11" s="263" customFormat="1" ht="17.55" thickBot="1" x14ac:dyDescent="0.3">
      <c r="A27" s="272" t="s">
        <v>192</v>
      </c>
      <c r="B27" s="100"/>
      <c r="C27" s="303">
        <f>D27*C9</f>
        <v>30.822000000000003</v>
      </c>
      <c r="D27" s="416">
        <f>0.03*B25</f>
        <v>3.3000000000000002E-2</v>
      </c>
      <c r="E27" s="422">
        <v>0</v>
      </c>
      <c r="F27" s="420">
        <v>0.2</v>
      </c>
      <c r="G27" s="282">
        <f>100%-F27</f>
        <v>0.8</v>
      </c>
      <c r="H27" s="291">
        <f>(C27+E27)*F27</f>
        <v>6.1644000000000005</v>
      </c>
      <c r="I27" s="293">
        <f>H27/H9</f>
        <v>3.2352941176470591E-2</v>
      </c>
      <c r="J27" s="291">
        <f>(C27+E27)*G27</f>
        <v>24.657600000000002</v>
      </c>
      <c r="K27" s="293">
        <f>J27/J9</f>
        <v>3.2352941176470591E-2</v>
      </c>
    </row>
    <row r="28" spans="1:11" s="263" customFormat="1" ht="17.55" thickBot="1" x14ac:dyDescent="0.3">
      <c r="A28" s="273" t="s">
        <v>193</v>
      </c>
      <c r="B28" s="266"/>
      <c r="C28" s="302">
        <f>D28*C9</f>
        <v>20.548000000000002</v>
      </c>
      <c r="D28" s="417">
        <f>0.02*B25</f>
        <v>2.2000000000000002E-2</v>
      </c>
      <c r="E28" s="422">
        <v>0</v>
      </c>
      <c r="F28" s="420">
        <f>$F$10</f>
        <v>0.17553533190578158</v>
      </c>
      <c r="G28" s="282">
        <f>100%-F28</f>
        <v>0.82446466809421848</v>
      </c>
      <c r="H28" s="291">
        <f>(C28+E28)*F28</f>
        <v>3.6069</v>
      </c>
      <c r="I28" s="294">
        <f>H28/H9</f>
        <v>1.8930280891799975E-2</v>
      </c>
      <c r="J28" s="291">
        <f>(C28+E28)*G28</f>
        <v>16.941100000000002</v>
      </c>
      <c r="K28" s="293">
        <f>J28/J9</f>
        <v>2.2228214090775498E-2</v>
      </c>
    </row>
    <row r="29" spans="1:11" s="263" customFormat="1" ht="17.55" thickBot="1" x14ac:dyDescent="0.3">
      <c r="A29" s="272" t="s">
        <v>194</v>
      </c>
      <c r="B29" s="100"/>
      <c r="C29" s="303">
        <f>C30+C31</f>
        <v>955.48200000000008</v>
      </c>
      <c r="D29" s="416">
        <f>C29/C9</f>
        <v>1.0230000000000001</v>
      </c>
      <c r="E29" s="422">
        <v>0</v>
      </c>
      <c r="F29" s="419">
        <f>(H29/C29)</f>
        <v>0.50750558356933984</v>
      </c>
      <c r="G29" s="282">
        <f>J29/C29</f>
        <v>0.49249441643066011</v>
      </c>
      <c r="H29" s="291">
        <f>H30+H31</f>
        <v>484.91245000000004</v>
      </c>
      <c r="I29" s="293">
        <f>H29/H9</f>
        <v>2.5449912352521311</v>
      </c>
      <c r="J29" s="291">
        <f>J30+J31</f>
        <v>470.56955000000005</v>
      </c>
      <c r="K29" s="293">
        <f>J29/J9</f>
        <v>0.61742866177520261</v>
      </c>
    </row>
    <row r="30" spans="1:11" s="263" customFormat="1" ht="17.55" thickBot="1" x14ac:dyDescent="0.3">
      <c r="A30" s="273" t="s">
        <v>195</v>
      </c>
      <c r="B30" s="100"/>
      <c r="C30" s="302">
        <f>D30*C9</f>
        <v>513.70000000000005</v>
      </c>
      <c r="D30" s="417">
        <f>0.5*B25</f>
        <v>0.55000000000000004</v>
      </c>
      <c r="E30" s="422">
        <v>0</v>
      </c>
      <c r="F30" s="420">
        <v>0.75</v>
      </c>
      <c r="G30" s="282">
        <f>100%-F30</f>
        <v>0.25</v>
      </c>
      <c r="H30" s="291">
        <f t="shared" ref="H30:H31" si="1">(C30+E30)*F30</f>
        <v>385.27500000000003</v>
      </c>
      <c r="I30" s="293">
        <f>H30/H9</f>
        <v>2.0220588235294121</v>
      </c>
      <c r="J30" s="291">
        <f>(C30+E30)*G30</f>
        <v>128.42500000000001</v>
      </c>
      <c r="K30" s="293">
        <f>J30/J9</f>
        <v>0.16850490196078433</v>
      </c>
    </row>
    <row r="31" spans="1:11" s="263" customFormat="1" ht="17.55" thickBot="1" x14ac:dyDescent="0.3">
      <c r="A31" s="272" t="s">
        <v>196</v>
      </c>
      <c r="B31" s="100"/>
      <c r="C31" s="302">
        <f>D31*C9</f>
        <v>441.78200000000004</v>
      </c>
      <c r="D31" s="417">
        <f>0.43*B25</f>
        <v>0.47300000000000003</v>
      </c>
      <c r="E31" s="422">
        <v>0</v>
      </c>
      <c r="F31" s="420">
        <f>$F$10+5%</f>
        <v>0.22553533190578157</v>
      </c>
      <c r="G31" s="282">
        <f>100%-F31</f>
        <v>0.77446466809421843</v>
      </c>
      <c r="H31" s="291">
        <f t="shared" si="1"/>
        <v>99.637450000000001</v>
      </c>
      <c r="I31" s="293">
        <f>H31/H9</f>
        <v>0.52293241172271909</v>
      </c>
      <c r="J31" s="291">
        <f>(C31+E31)*G31</f>
        <v>342.14455000000004</v>
      </c>
      <c r="K31" s="293">
        <f>J31/J9</f>
        <v>0.44892375981441834</v>
      </c>
    </row>
    <row r="32" spans="1:11" s="263" customFormat="1" ht="21.3" thickBot="1" x14ac:dyDescent="0.4">
      <c r="A32" s="273" t="s">
        <v>197</v>
      </c>
      <c r="B32" s="295">
        <v>5.5</v>
      </c>
      <c r="C32" s="303">
        <f>C33</f>
        <v>5137</v>
      </c>
      <c r="D32" s="415">
        <f>C32/C9</f>
        <v>5.5</v>
      </c>
      <c r="E32" s="422">
        <v>0</v>
      </c>
      <c r="F32" s="419">
        <f>(H32/C32)</f>
        <v>0.19296038543897215</v>
      </c>
      <c r="G32" s="282">
        <f>J32/C32</f>
        <v>0.8070396145610278</v>
      </c>
      <c r="H32" s="291">
        <f>H33</f>
        <v>991.23749999999995</v>
      </c>
      <c r="I32" s="293">
        <f>H32/H9</f>
        <v>5.2023633329134649</v>
      </c>
      <c r="J32" s="291">
        <f>J33</f>
        <v>4145.7624999999998</v>
      </c>
      <c r="K32" s="293">
        <f>J32/J9</f>
        <v>5.4396052452030057</v>
      </c>
    </row>
    <row r="33" spans="1:11" s="263" customFormat="1" ht="17.55" thickBot="1" x14ac:dyDescent="0.3">
      <c r="A33" s="272" t="s">
        <v>198</v>
      </c>
      <c r="C33" s="303">
        <f>C34+C35</f>
        <v>5137</v>
      </c>
      <c r="D33" s="416">
        <f>C33/C9</f>
        <v>5.5</v>
      </c>
      <c r="E33" s="422">
        <v>0</v>
      </c>
      <c r="F33" s="419">
        <f>(H33/C33)</f>
        <v>0.19296038543897215</v>
      </c>
      <c r="G33" s="282">
        <f>J33/C33</f>
        <v>0.8070396145610278</v>
      </c>
      <c r="H33" s="291">
        <f>H34+H35</f>
        <v>991.23749999999995</v>
      </c>
      <c r="I33" s="293">
        <f>H33/H9</f>
        <v>5.2023633329134649</v>
      </c>
      <c r="J33" s="291">
        <f>J34+J35</f>
        <v>4145.7624999999998</v>
      </c>
      <c r="K33" s="293">
        <f>J33/J9</f>
        <v>5.4396052452030057</v>
      </c>
    </row>
    <row r="34" spans="1:11" s="263" customFormat="1" ht="17.55" thickBot="1" x14ac:dyDescent="0.3">
      <c r="A34" s="273" t="s">
        <v>199</v>
      </c>
      <c r="B34" s="100"/>
      <c r="C34" s="303">
        <f>D34*C9</f>
        <v>719.18000000000006</v>
      </c>
      <c r="D34" s="416">
        <f>0.14*B32</f>
        <v>0.77</v>
      </c>
      <c r="E34" s="422">
        <v>0</v>
      </c>
      <c r="F34" s="420">
        <v>0.3</v>
      </c>
      <c r="G34" s="282">
        <f>100%-F34</f>
        <v>0.7</v>
      </c>
      <c r="H34" s="291">
        <f t="shared" ref="H34" si="2">(C34+E34)*F34</f>
        <v>215.75400000000002</v>
      </c>
      <c r="I34" s="293">
        <f>H34/H9</f>
        <v>1.1323529411764708</v>
      </c>
      <c r="J34" s="291">
        <f>(C34+E34)*G34</f>
        <v>503.42599999999999</v>
      </c>
      <c r="K34" s="293">
        <f>J34/J9</f>
        <v>0.66053921568627449</v>
      </c>
    </row>
    <row r="35" spans="1:11" s="263" customFormat="1" ht="17.55" thickBot="1" x14ac:dyDescent="0.3">
      <c r="A35" s="272" t="s">
        <v>200</v>
      </c>
      <c r="B35" s="100"/>
      <c r="C35" s="302">
        <f>D35*C9</f>
        <v>4417.82</v>
      </c>
      <c r="D35" s="417">
        <f>0.86*B32</f>
        <v>4.7299999999999995</v>
      </c>
      <c r="E35" s="423">
        <v>0</v>
      </c>
      <c r="F35" s="420">
        <f>$F$10</f>
        <v>0.17553533190578158</v>
      </c>
      <c r="G35" s="282">
        <f>100%-F35</f>
        <v>0.82446466809421848</v>
      </c>
      <c r="H35" s="291">
        <f>(C35+E35)*F35</f>
        <v>775.48349999999994</v>
      </c>
      <c r="I35" s="293">
        <f>H35/H9</f>
        <v>4.0700103917369939</v>
      </c>
      <c r="J35" s="291">
        <f>(C35+E35)*G35</f>
        <v>3642.3364999999999</v>
      </c>
      <c r="K35" s="293">
        <f>J35/J9</f>
        <v>4.7790660295167315</v>
      </c>
    </row>
    <row r="36" spans="1:11" s="263" customFormat="1" x14ac:dyDescent="0.25"/>
    <row r="37" spans="1:11" s="304" customFormat="1" ht="15.05" thickBot="1" x14ac:dyDescent="0.3"/>
    <row r="38" spans="1:11" s="263" customFormat="1" x14ac:dyDescent="0.25"/>
  </sheetData>
  <mergeCells count="5">
    <mergeCell ref="C1:D1"/>
    <mergeCell ref="F1:G1"/>
    <mergeCell ref="H1:I1"/>
    <mergeCell ref="J1:K1"/>
    <mergeCell ref="E4:F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05001-7254-4AC3-A0B2-28BAB5EE1992}">
  <dimension ref="A1:T39"/>
  <sheetViews>
    <sheetView zoomScale="60" zoomScaleNormal="60" workbookViewId="0">
      <pane xSplit="1" ySplit="3" topLeftCell="B4" activePane="bottomRight" state="frozen"/>
      <selection pane="topRight" activeCell="B1" sqref="B1"/>
      <selection pane="bottomLeft" activeCell="A4" sqref="A4"/>
      <selection pane="bottomRight" activeCell="F8" sqref="F8"/>
    </sheetView>
  </sheetViews>
  <sheetFormatPr defaultColWidth="10.796875" defaultRowHeight="14.4" x14ac:dyDescent="0.25"/>
  <cols>
    <col min="1" max="1" width="30.796875" style="93" customWidth="1"/>
    <col min="2" max="2" width="29.796875" style="115" customWidth="1"/>
    <col min="3" max="3" width="19.5" style="115" customWidth="1"/>
    <col min="4" max="4" width="24.296875" style="115" customWidth="1"/>
    <col min="5" max="5" width="24" style="115" customWidth="1"/>
    <col min="6" max="6" width="37.19921875" style="115" customWidth="1"/>
    <col min="7" max="7" width="22.19921875" style="115" customWidth="1"/>
    <col min="8" max="8" width="17.19921875" style="115" customWidth="1"/>
    <col min="9" max="9" width="23.796875" style="115" customWidth="1"/>
    <col min="10" max="10" width="24.5" style="115" customWidth="1"/>
    <col min="11" max="11" width="24.3984375" style="115" customWidth="1"/>
    <col min="12" max="12" width="21.19921875" style="115" customWidth="1"/>
    <col min="13" max="13" width="21.296875" style="115" customWidth="1"/>
    <col min="14" max="14" width="23.296875" style="115" customWidth="1"/>
    <col min="16" max="16" width="16.296875" style="115" customWidth="1"/>
    <col min="17" max="19" width="10.796875" style="115" bestFit="1" customWidth="1"/>
    <col min="20" max="20" width="10.796875" style="115"/>
    <col min="21" max="21" width="16.296875" style="115" customWidth="1"/>
    <col min="22" max="16384" width="10.796875" style="115"/>
  </cols>
  <sheetData>
    <row r="1" spans="1:20" s="263" customFormat="1" ht="57" customHeight="1" thickBot="1" x14ac:dyDescent="0.5">
      <c r="A1" s="271"/>
      <c r="B1" s="295" t="s">
        <v>359</v>
      </c>
      <c r="C1" s="496" t="s">
        <v>363</v>
      </c>
      <c r="D1" s="497"/>
      <c r="E1" s="279"/>
      <c r="F1" s="498" t="s">
        <v>238</v>
      </c>
      <c r="G1" s="499"/>
      <c r="H1" s="506" t="s">
        <v>375</v>
      </c>
      <c r="I1" s="506"/>
      <c r="K1" s="506" t="s">
        <v>376</v>
      </c>
      <c r="L1" s="506"/>
      <c r="M1" s="501" t="s">
        <v>377</v>
      </c>
      <c r="N1" s="501"/>
    </row>
    <row r="2" spans="1:20" s="339" customFormat="1" ht="79.849999999999994" customHeight="1" thickBot="1" x14ac:dyDescent="0.3">
      <c r="A2" s="271"/>
      <c r="B2" s="332" t="s">
        <v>368</v>
      </c>
      <c r="C2" s="333" t="s">
        <v>171</v>
      </c>
      <c r="D2" s="334" t="s">
        <v>360</v>
      </c>
      <c r="E2" s="335" t="s">
        <v>364</v>
      </c>
      <c r="F2" s="336" t="s">
        <v>373</v>
      </c>
      <c r="G2" s="336" t="s">
        <v>374</v>
      </c>
      <c r="H2" s="337" t="s">
        <v>1</v>
      </c>
      <c r="I2" s="338" t="s">
        <v>113</v>
      </c>
      <c r="J2" s="335" t="s">
        <v>364</v>
      </c>
      <c r="K2" s="337" t="s">
        <v>1</v>
      </c>
      <c r="L2" s="338" t="s">
        <v>113</v>
      </c>
      <c r="M2" s="337" t="s">
        <v>1</v>
      </c>
      <c r="N2" s="338" t="s">
        <v>113</v>
      </c>
    </row>
    <row r="3" spans="1:20" s="263" customFormat="1" ht="23.2" thickBot="1" x14ac:dyDescent="0.35">
      <c r="A3" s="331">
        <v>0.8</v>
      </c>
      <c r="B3" s="330" t="s">
        <v>379</v>
      </c>
      <c r="C3" s="322"/>
      <c r="D3" s="320" t="s">
        <v>130</v>
      </c>
      <c r="E3" s="279"/>
      <c r="I3" s="276" t="s">
        <v>130</v>
      </c>
      <c r="L3" s="276" t="s">
        <v>130</v>
      </c>
      <c r="N3" s="276" t="s">
        <v>130</v>
      </c>
    </row>
    <row r="4" spans="1:20" ht="17.55" x14ac:dyDescent="0.3">
      <c r="E4" s="494" t="str">
        <f>CONCATENATE(E5,"% H2SO4 solution")</f>
        <v>96% H2SO4 solution</v>
      </c>
      <c r="F4" s="495"/>
      <c r="J4" s="494" t="s">
        <v>380</v>
      </c>
      <c r="K4" s="495"/>
      <c r="L4" s="348" t="s">
        <v>381</v>
      </c>
      <c r="M4" s="349"/>
      <c r="N4" s="350"/>
      <c r="P4" s="356" t="s">
        <v>384</v>
      </c>
      <c r="Q4" s="357"/>
      <c r="R4" s="85"/>
      <c r="S4" s="85"/>
      <c r="T4" s="85"/>
    </row>
    <row r="5" spans="1:20" s="88" customFormat="1" ht="22.25" customHeight="1" x14ac:dyDescent="0.35">
      <c r="A5" s="144"/>
      <c r="E5" s="305">
        <v>96</v>
      </c>
      <c r="F5" s="308" t="s">
        <v>14</v>
      </c>
      <c r="H5" s="109"/>
      <c r="I5" s="101"/>
      <c r="J5" s="502" t="s">
        <v>383</v>
      </c>
      <c r="K5" s="503"/>
      <c r="L5" s="362">
        <f>(((H21/$Q$5)/2)*$Q$10)/H9</f>
        <v>242.53812914291464</v>
      </c>
      <c r="M5" s="343" t="s">
        <v>382</v>
      </c>
      <c r="N5" s="351"/>
      <c r="P5" s="358" t="s">
        <v>131</v>
      </c>
      <c r="Q5" s="359">
        <v>14.01</v>
      </c>
      <c r="R5" s="340"/>
      <c r="S5" s="340"/>
      <c r="T5" s="340"/>
    </row>
    <row r="6" spans="1:20" s="88" customFormat="1" ht="26.45" customHeight="1" x14ac:dyDescent="0.35">
      <c r="A6" s="363"/>
      <c r="B6" s="143"/>
      <c r="E6" s="307">
        <f>E5*10</f>
        <v>960</v>
      </c>
      <c r="F6" s="306" t="s">
        <v>378</v>
      </c>
      <c r="J6" s="307"/>
      <c r="K6" s="306"/>
      <c r="L6" s="504" t="s">
        <v>385</v>
      </c>
      <c r="M6" s="343"/>
      <c r="N6" s="352"/>
      <c r="P6" s="358" t="s">
        <v>132</v>
      </c>
      <c r="Q6" s="359">
        <v>18.02</v>
      </c>
      <c r="R6" s="340"/>
      <c r="S6" s="340"/>
      <c r="T6" s="340"/>
    </row>
    <row r="7" spans="1:20" s="88" customFormat="1" ht="23.5" customHeight="1" x14ac:dyDescent="0.35">
      <c r="A7" s="144"/>
      <c r="E7" s="305">
        <v>1.84</v>
      </c>
      <c r="F7" s="306" t="s">
        <v>201</v>
      </c>
      <c r="I7" s="139"/>
      <c r="J7" s="307">
        <v>1</v>
      </c>
      <c r="K7" s="306" t="s">
        <v>201</v>
      </c>
      <c r="L7" s="504"/>
      <c r="M7" s="344">
        <v>380</v>
      </c>
      <c r="N7" s="353" t="s">
        <v>130</v>
      </c>
      <c r="P7" s="358" t="s">
        <v>133</v>
      </c>
      <c r="Q7" s="359">
        <v>18.04</v>
      </c>
      <c r="R7" s="84"/>
      <c r="S7" s="84"/>
      <c r="T7" s="340"/>
    </row>
    <row r="8" spans="1:20" s="88" customFormat="1" ht="58.85" customHeight="1" thickBot="1" x14ac:dyDescent="0.4">
      <c r="A8" s="144"/>
      <c r="C8" s="91"/>
      <c r="D8" s="91"/>
      <c r="E8" s="305">
        <v>100</v>
      </c>
      <c r="F8" s="310" t="str">
        <f>CONCATENATE("L ",E4,"/ton input")</f>
        <v>L 96% H2SO4 solution/ton input</v>
      </c>
      <c r="G8" s="189"/>
      <c r="H8" s="189"/>
      <c r="I8" s="189"/>
      <c r="J8" s="307">
        <f>J9/(H9/1000)</f>
        <v>0</v>
      </c>
      <c r="K8" s="386" t="str">
        <f>CONCATENATE("L ",J4,"/ton initial AmmS solution")</f>
        <v>L water for dilution needed/ton initial AmmS solution</v>
      </c>
      <c r="L8" s="505"/>
      <c r="M8" s="354"/>
      <c r="N8" s="355"/>
      <c r="P8" s="358" t="s">
        <v>103</v>
      </c>
      <c r="Q8" s="359">
        <v>98.08</v>
      </c>
      <c r="R8" s="84"/>
      <c r="S8" s="84"/>
      <c r="T8" s="340"/>
    </row>
    <row r="9" spans="1:20" s="88" customFormat="1" ht="21.3" thickBot="1" x14ac:dyDescent="0.4">
      <c r="A9" s="272" t="s">
        <v>361</v>
      </c>
      <c r="B9" s="295">
        <v>9000</v>
      </c>
      <c r="C9" s="280">
        <f>B9</f>
        <v>9000</v>
      </c>
      <c r="D9" s="411"/>
      <c r="E9" s="425">
        <f>(((($H$21/$Q$5)/2)*$Q$8)/$E$5%)/1000</f>
        <v>97.134903640256965</v>
      </c>
      <c r="F9" s="452">
        <f>(H9/C9)</f>
        <v>5.7554311015941002E-2</v>
      </c>
      <c r="G9" s="282">
        <f>100%-F9</f>
        <v>0.942445688984059</v>
      </c>
      <c r="H9" s="291">
        <f>(H10+H11)/1000</f>
        <v>517.98879914346901</v>
      </c>
      <c r="I9" s="427"/>
      <c r="J9" s="430">
        <f>(J10+J11)/1000</f>
        <v>0</v>
      </c>
      <c r="K9" s="429">
        <f>H9+J9</f>
        <v>517.98879914346901</v>
      </c>
      <c r="L9" s="345"/>
      <c r="M9" s="346">
        <f>(M10+M11)/1000</f>
        <v>8704.7781387580289</v>
      </c>
      <c r="N9" s="347"/>
      <c r="P9" s="358" t="s">
        <v>138</v>
      </c>
      <c r="Q9" s="359">
        <v>96.08</v>
      </c>
      <c r="R9" s="340"/>
      <c r="S9" s="84"/>
      <c r="T9" s="340"/>
    </row>
    <row r="10" spans="1:20" s="88" customFormat="1" ht="18.2" thickBot="1" x14ac:dyDescent="0.35">
      <c r="A10" s="273" t="s">
        <v>175</v>
      </c>
      <c r="B10" s="263"/>
      <c r="C10" s="283">
        <f>(C9*1000)-C11</f>
        <v>7560000</v>
      </c>
      <c r="D10" s="412"/>
      <c r="E10" s="426">
        <f>(E9*1000)-E11</f>
        <v>3885.3961456102843</v>
      </c>
      <c r="F10" s="451">
        <v>0.05</v>
      </c>
      <c r="G10" s="282">
        <f>100%-F10</f>
        <v>0.95</v>
      </c>
      <c r="H10" s="291">
        <f>($C10+$E10)*F10</f>
        <v>378194.26980728051</v>
      </c>
      <c r="I10" s="341">
        <f>H10/$H$9</f>
        <v>730.12055556539326</v>
      </c>
      <c r="J10" s="437">
        <f>(IF(((H9*(L5/M7))-H9)&lt;0,0,((H9*(L5/M7))-H9)))*1000</f>
        <v>0</v>
      </c>
      <c r="K10" s="429">
        <f t="shared" ref="K10:K35" si="0">H10+J10</f>
        <v>378194.26980728051</v>
      </c>
      <c r="L10" s="293">
        <f>K10/$K$9</f>
        <v>730.12055556539326</v>
      </c>
      <c r="M10" s="291">
        <f>($C10+$E10)*G10</f>
        <v>7185691.1263383292</v>
      </c>
      <c r="N10" s="341">
        <f>M10/$M$9</f>
        <v>825.48814131678273</v>
      </c>
      <c r="P10" s="360" t="s">
        <v>129</v>
      </c>
      <c r="Q10" s="361">
        <f>Q7*2+96.06</f>
        <v>132.13999999999999</v>
      </c>
      <c r="R10" s="84"/>
      <c r="S10" s="84"/>
      <c r="T10" s="340"/>
    </row>
    <row r="11" spans="1:20" s="88" customFormat="1" ht="21.3" thickBot="1" x14ac:dyDescent="0.4">
      <c r="A11" s="272" t="s">
        <v>176</v>
      </c>
      <c r="B11" s="295">
        <v>160</v>
      </c>
      <c r="C11" s="280">
        <f>C12+C15</f>
        <v>1440000</v>
      </c>
      <c r="D11" s="413">
        <f>C11/C9</f>
        <v>160</v>
      </c>
      <c r="E11" s="426">
        <f>E12+E15</f>
        <v>93249.507494646678</v>
      </c>
      <c r="F11" s="419">
        <f>(H11/C11)</f>
        <v>9.7079534261241968E-2</v>
      </c>
      <c r="G11" s="282">
        <f t="shared" ref="G11:G35" si="1">100%-F11</f>
        <v>0.90292046573875806</v>
      </c>
      <c r="H11" s="291">
        <f>H12+H15</f>
        <v>139794.52933618843</v>
      </c>
      <c r="I11" s="341">
        <f t="shared" ref="I11:I35" si="2">H11/$H$9</f>
        <v>269.87944443460657</v>
      </c>
      <c r="J11" s="422">
        <v>0</v>
      </c>
      <c r="K11" s="429">
        <f t="shared" si="0"/>
        <v>139794.52933618843</v>
      </c>
      <c r="L11" s="293">
        <f t="shared" ref="L11:L35" si="3">K11/$K$9</f>
        <v>269.87944443460657</v>
      </c>
      <c r="M11" s="291">
        <f>M12+M15</f>
        <v>1519087.0124197002</v>
      </c>
      <c r="N11" s="341">
        <f>M11/$M$9</f>
        <v>174.51185868321727</v>
      </c>
      <c r="Q11" s="340"/>
      <c r="R11" s="84"/>
      <c r="S11" s="84"/>
      <c r="T11" s="340"/>
    </row>
    <row r="12" spans="1:20" s="88" customFormat="1" ht="18.2" thickBot="1" x14ac:dyDescent="0.35">
      <c r="A12" s="273" t="s">
        <v>177</v>
      </c>
      <c r="B12" s="265">
        <f>B11-B15</f>
        <v>134</v>
      </c>
      <c r="C12" s="280">
        <f>C13+C14</f>
        <v>1206000</v>
      </c>
      <c r="D12" s="414">
        <f>C12/C9</f>
        <v>134</v>
      </c>
      <c r="E12" s="426">
        <f>((($H$21/$Q$5)/2)*$Q$8)</f>
        <v>93249.507494646678</v>
      </c>
      <c r="F12" s="419">
        <f>(H12/C12)</f>
        <v>0.11494571255073667</v>
      </c>
      <c r="G12" s="282">
        <f t="shared" si="1"/>
        <v>0.88505428744926329</v>
      </c>
      <c r="H12" s="291">
        <f>H13+H14</f>
        <v>138624.52933618843</v>
      </c>
      <c r="I12" s="341">
        <f t="shared" si="2"/>
        <v>267.62070833464713</v>
      </c>
      <c r="J12" s="422">
        <v>0</v>
      </c>
      <c r="K12" s="429">
        <f t="shared" si="0"/>
        <v>138624.52933618843</v>
      </c>
      <c r="L12" s="293">
        <f t="shared" si="3"/>
        <v>267.62070833464713</v>
      </c>
      <c r="M12" s="291">
        <f>M13+M14</f>
        <v>1286257.0124197002</v>
      </c>
      <c r="N12" s="341">
        <f t="shared" ref="N12:N35" si="4">M12/$M$9</f>
        <v>147.76447968187037</v>
      </c>
      <c r="O12" s="340"/>
      <c r="P12" s="340"/>
      <c r="Q12" s="340"/>
      <c r="R12" s="84"/>
      <c r="S12" s="84"/>
      <c r="T12" s="340"/>
    </row>
    <row r="13" spans="1:20" s="88" customFormat="1" ht="18.2" thickBot="1" x14ac:dyDescent="0.35">
      <c r="A13" s="272" t="s">
        <v>178</v>
      </c>
      <c r="B13" s="263"/>
      <c r="C13" s="283">
        <f>D13*C9</f>
        <v>603000</v>
      </c>
      <c r="D13" s="412">
        <f>1/2*B12</f>
        <v>67</v>
      </c>
      <c r="E13" s="426">
        <v>0</v>
      </c>
      <c r="F13" s="420">
        <v>0.01</v>
      </c>
      <c r="G13" s="282">
        <f t="shared" si="1"/>
        <v>0.99</v>
      </c>
      <c r="H13" s="291">
        <f>($C13+$E13)*F13</f>
        <v>6030</v>
      </c>
      <c r="I13" s="341">
        <f t="shared" si="2"/>
        <v>11.641178361329493</v>
      </c>
      <c r="J13" s="422">
        <v>0</v>
      </c>
      <c r="K13" s="429">
        <f t="shared" si="0"/>
        <v>6030</v>
      </c>
      <c r="L13" s="293">
        <f t="shared" si="3"/>
        <v>11.641178361329493</v>
      </c>
      <c r="M13" s="291">
        <f>($C13+$E13)*G13</f>
        <v>596970</v>
      </c>
      <c r="N13" s="341">
        <f t="shared" si="4"/>
        <v>68.579576697307289</v>
      </c>
      <c r="O13" s="340"/>
      <c r="P13" s="340"/>
      <c r="Q13" s="340"/>
      <c r="R13" s="84"/>
      <c r="S13" s="84"/>
      <c r="T13" s="340"/>
    </row>
    <row r="14" spans="1:20" s="88" customFormat="1" ht="18.2" thickBot="1" x14ac:dyDescent="0.35">
      <c r="A14" s="273" t="s">
        <v>179</v>
      </c>
      <c r="B14" s="263"/>
      <c r="C14" s="302">
        <f>D14*C9</f>
        <v>603000</v>
      </c>
      <c r="D14" s="412">
        <f>1/2*B12</f>
        <v>67</v>
      </c>
      <c r="E14" s="426">
        <f>E12</f>
        <v>93249.507494646678</v>
      </c>
      <c r="F14" s="420">
        <v>0.01</v>
      </c>
      <c r="G14" s="282">
        <f t="shared" si="1"/>
        <v>0.99</v>
      </c>
      <c r="H14" s="364">
        <f>(($C14+$E14)*F14)+(((H21/$Q$5)/2)*$Q$10)</f>
        <v>132594.52933618843</v>
      </c>
      <c r="I14" s="341">
        <f t="shared" si="2"/>
        <v>255.97952997331763</v>
      </c>
      <c r="J14" s="422">
        <v>0</v>
      </c>
      <c r="K14" s="429">
        <f t="shared" si="0"/>
        <v>132594.52933618843</v>
      </c>
      <c r="L14" s="293">
        <f t="shared" si="3"/>
        <v>255.97952997331763</v>
      </c>
      <c r="M14" s="291">
        <f>($C14+$E14)*G14</f>
        <v>689287.01241970027</v>
      </c>
      <c r="N14" s="341">
        <f t="shared" si="4"/>
        <v>79.184902984563095</v>
      </c>
      <c r="O14" s="340"/>
      <c r="P14" s="340"/>
      <c r="Q14" s="340"/>
      <c r="R14" s="84"/>
      <c r="S14" s="84"/>
      <c r="T14" s="340"/>
    </row>
    <row r="15" spans="1:20" s="88" customFormat="1" ht="21.3" thickBot="1" x14ac:dyDescent="0.4">
      <c r="A15" s="272" t="s">
        <v>180</v>
      </c>
      <c r="B15" s="295">
        <v>26</v>
      </c>
      <c r="C15" s="303">
        <f>C16+C17</f>
        <v>234000</v>
      </c>
      <c r="D15" s="413">
        <f>C15/C9</f>
        <v>26</v>
      </c>
      <c r="E15" s="422">
        <v>0</v>
      </c>
      <c r="F15" s="419">
        <f>(H15/C15)</f>
        <v>5.0000000000000001E-3</v>
      </c>
      <c r="G15" s="282">
        <f t="shared" si="1"/>
        <v>0.995</v>
      </c>
      <c r="H15" s="291">
        <f>H16+H17</f>
        <v>1170</v>
      </c>
      <c r="I15" s="341">
        <f t="shared" si="2"/>
        <v>2.2587360999594539</v>
      </c>
      <c r="J15" s="422">
        <v>0</v>
      </c>
      <c r="K15" s="429">
        <f t="shared" si="0"/>
        <v>1170</v>
      </c>
      <c r="L15" s="293">
        <f t="shared" si="3"/>
        <v>2.2587360999594539</v>
      </c>
      <c r="M15" s="291">
        <f>M16+M17</f>
        <v>232830</v>
      </c>
      <c r="N15" s="341">
        <f t="shared" si="4"/>
        <v>26.747379001346893</v>
      </c>
      <c r="O15" s="340"/>
      <c r="P15" s="84"/>
      <c r="Q15" s="84"/>
      <c r="R15" s="84"/>
      <c r="S15" s="340"/>
      <c r="T15" s="340"/>
    </row>
    <row r="16" spans="1:20" s="88" customFormat="1" ht="18.2" thickBot="1" x14ac:dyDescent="0.35">
      <c r="A16" s="273" t="s">
        <v>181</v>
      </c>
      <c r="B16" s="263"/>
      <c r="C16" s="302">
        <f>D16*C9</f>
        <v>195000</v>
      </c>
      <c r="D16" s="412">
        <f>5/6*B15</f>
        <v>21.666666666666668</v>
      </c>
      <c r="E16" s="422">
        <v>0</v>
      </c>
      <c r="F16" s="420">
        <v>0</v>
      </c>
      <c r="G16" s="282">
        <f t="shared" si="1"/>
        <v>1</v>
      </c>
      <c r="H16" s="291">
        <f>($C16+$E16)*F16</f>
        <v>0</v>
      </c>
      <c r="I16" s="341">
        <f t="shared" si="2"/>
        <v>0</v>
      </c>
      <c r="J16" s="422">
        <v>0</v>
      </c>
      <c r="K16" s="429">
        <f t="shared" si="0"/>
        <v>0</v>
      </c>
      <c r="L16" s="293">
        <f t="shared" si="3"/>
        <v>0</v>
      </c>
      <c r="M16" s="291">
        <f>($C16+$E16)*G16</f>
        <v>195000</v>
      </c>
      <c r="N16" s="341">
        <f t="shared" si="4"/>
        <v>22.401489950876794</v>
      </c>
      <c r="O16" s="340"/>
      <c r="P16" s="340"/>
      <c r="Q16" s="84"/>
      <c r="R16" s="342"/>
      <c r="S16" s="340"/>
      <c r="T16" s="340"/>
    </row>
    <row r="17" spans="1:20" s="88" customFormat="1" ht="18.2" thickBot="1" x14ac:dyDescent="0.35">
      <c r="A17" s="272" t="s">
        <v>182</v>
      </c>
      <c r="B17" s="263"/>
      <c r="C17" s="302">
        <f>D17*C9</f>
        <v>39000</v>
      </c>
      <c r="D17" s="412">
        <f>1/6*B15</f>
        <v>4.333333333333333</v>
      </c>
      <c r="E17" s="422">
        <v>0</v>
      </c>
      <c r="F17" s="420">
        <v>0.03</v>
      </c>
      <c r="G17" s="282">
        <f t="shared" si="1"/>
        <v>0.97</v>
      </c>
      <c r="H17" s="291">
        <f>($C17+$E17)*F17</f>
        <v>1170</v>
      </c>
      <c r="I17" s="341">
        <f t="shared" si="2"/>
        <v>2.2587360999594539</v>
      </c>
      <c r="J17" s="422">
        <v>0</v>
      </c>
      <c r="K17" s="429">
        <f t="shared" si="0"/>
        <v>1170</v>
      </c>
      <c r="L17" s="293">
        <f t="shared" si="3"/>
        <v>2.2587360999594539</v>
      </c>
      <c r="M17" s="291">
        <f t="shared" ref="M17" si="5">($C17+$E17)*G17</f>
        <v>37830</v>
      </c>
      <c r="N17" s="341">
        <f t="shared" si="4"/>
        <v>4.345889050470098</v>
      </c>
      <c r="O17" s="340"/>
      <c r="P17" s="340"/>
      <c r="Q17" s="340"/>
      <c r="R17" s="342"/>
      <c r="S17" s="84"/>
      <c r="T17" s="340"/>
    </row>
    <row r="18" spans="1:20" s="88" customFormat="1" ht="21.3" thickBot="1" x14ac:dyDescent="0.4">
      <c r="A18" s="273" t="s">
        <v>183</v>
      </c>
      <c r="B18" s="295">
        <v>6.7</v>
      </c>
      <c r="C18" s="303">
        <f>C19+C22</f>
        <v>60300</v>
      </c>
      <c r="D18" s="415">
        <f>C18/C9</f>
        <v>6.7</v>
      </c>
      <c r="E18" s="422">
        <v>0</v>
      </c>
      <c r="F18" s="419">
        <f>(H18/C18)</f>
        <v>0.44214353763099395</v>
      </c>
      <c r="G18" s="282">
        <f t="shared" si="1"/>
        <v>0.5578564623690061</v>
      </c>
      <c r="H18" s="291">
        <f>H19+H22</f>
        <v>26661.255319148935</v>
      </c>
      <c r="I18" s="341">
        <f t="shared" si="2"/>
        <v>51.470717828715991</v>
      </c>
      <c r="J18" s="422">
        <v>0</v>
      </c>
      <c r="K18" s="429">
        <f t="shared" si="0"/>
        <v>26661.255319148935</v>
      </c>
      <c r="L18" s="293">
        <f t="shared" si="3"/>
        <v>51.470717828715991</v>
      </c>
      <c r="M18" s="291">
        <f>M19+M22</f>
        <v>33638.744680851065</v>
      </c>
      <c r="N18" s="341">
        <f t="shared" si="4"/>
        <v>3.8644000047599762</v>
      </c>
      <c r="O18" s="340"/>
      <c r="P18" s="340"/>
      <c r="Q18" s="340"/>
      <c r="R18" s="84"/>
      <c r="S18" s="84"/>
      <c r="T18" s="340"/>
    </row>
    <row r="19" spans="1:20" s="88" customFormat="1" ht="17.55" thickBot="1" x14ac:dyDescent="0.3">
      <c r="A19" s="272" t="s">
        <v>184</v>
      </c>
      <c r="B19" s="265">
        <f>D21/0.94</f>
        <v>3.9361702127659579</v>
      </c>
      <c r="C19" s="303">
        <f>C20+C21</f>
        <v>35425.531914893618</v>
      </c>
      <c r="D19" s="416">
        <f>C19/C9</f>
        <v>3.9361702127659575</v>
      </c>
      <c r="E19" s="422">
        <v>0</v>
      </c>
      <c r="F19" s="419">
        <f>(H19/C19)</f>
        <v>0.75259999999999994</v>
      </c>
      <c r="G19" s="282">
        <f t="shared" si="1"/>
        <v>0.24740000000000006</v>
      </c>
      <c r="H19" s="291">
        <f>H20+H21</f>
        <v>26661.255319148935</v>
      </c>
      <c r="I19" s="341">
        <f t="shared" si="2"/>
        <v>51.470717828715991</v>
      </c>
      <c r="J19" s="422">
        <v>0</v>
      </c>
      <c r="K19" s="429">
        <f t="shared" si="0"/>
        <v>26661.255319148935</v>
      </c>
      <c r="L19" s="293">
        <f t="shared" si="3"/>
        <v>51.470717828715991</v>
      </c>
      <c r="M19" s="291">
        <f>M20+M21</f>
        <v>8764.2765957446827</v>
      </c>
      <c r="N19" s="341">
        <f t="shared" si="4"/>
        <v>1.0068351491604062</v>
      </c>
      <c r="O19" s="340"/>
      <c r="P19" s="340"/>
      <c r="Q19" s="340"/>
      <c r="R19" s="340"/>
      <c r="S19" s="340"/>
      <c r="T19" s="340"/>
    </row>
    <row r="20" spans="1:20" s="88" customFormat="1" ht="17.55" thickBot="1" x14ac:dyDescent="0.3">
      <c r="A20" s="273" t="s">
        <v>185</v>
      </c>
      <c r="B20" s="263"/>
      <c r="C20" s="303">
        <f>D20*C9</f>
        <v>2125.5319148936196</v>
      </c>
      <c r="D20" s="416">
        <f>B19-D21</f>
        <v>0.23617021276595773</v>
      </c>
      <c r="E20" s="422">
        <v>0</v>
      </c>
      <c r="F20" s="420">
        <v>0.01</v>
      </c>
      <c r="G20" s="282">
        <f t="shared" si="1"/>
        <v>0.99</v>
      </c>
      <c r="H20" s="291">
        <f>C20*F20</f>
        <v>21.255319148936195</v>
      </c>
      <c r="I20" s="341">
        <f t="shared" si="2"/>
        <v>4.1034321946890287E-2</v>
      </c>
      <c r="J20" s="422">
        <v>0</v>
      </c>
      <c r="K20" s="429">
        <f t="shared" si="0"/>
        <v>21.255319148936195</v>
      </c>
      <c r="L20" s="293">
        <f t="shared" si="3"/>
        <v>4.1034321946890287E-2</v>
      </c>
      <c r="M20" s="291">
        <f t="shared" ref="M20:M21" si="6">($C20+$E20)*G20</f>
        <v>2104.2765957446836</v>
      </c>
      <c r="N20" s="341">
        <f t="shared" si="4"/>
        <v>0.24173810776122956</v>
      </c>
      <c r="O20" s="340"/>
      <c r="P20" s="340"/>
      <c r="Q20" s="340"/>
      <c r="R20" s="340"/>
      <c r="S20" s="340"/>
      <c r="T20" s="340"/>
    </row>
    <row r="21" spans="1:20" s="88" customFormat="1" ht="21.3" thickBot="1" x14ac:dyDescent="0.4">
      <c r="A21" s="272" t="s">
        <v>186</v>
      </c>
      <c r="B21" s="295">
        <v>3.7</v>
      </c>
      <c r="C21" s="302">
        <f>D21*C9</f>
        <v>33300</v>
      </c>
      <c r="D21" s="415">
        <f>B21</f>
        <v>3.7</v>
      </c>
      <c r="E21" s="422">
        <v>0</v>
      </c>
      <c r="F21" s="424">
        <f>A3</f>
        <v>0.8</v>
      </c>
      <c r="G21" s="282">
        <f t="shared" si="1"/>
        <v>0.19999999999999996</v>
      </c>
      <c r="H21" s="291">
        <f>C21*F21</f>
        <v>26640</v>
      </c>
      <c r="I21" s="341">
        <f t="shared" si="2"/>
        <v>51.429683506769102</v>
      </c>
      <c r="J21" s="422">
        <v>0</v>
      </c>
      <c r="K21" s="429">
        <f t="shared" si="0"/>
        <v>26640</v>
      </c>
      <c r="L21" s="293">
        <f t="shared" si="3"/>
        <v>51.429683506769102</v>
      </c>
      <c r="M21" s="291">
        <f t="shared" si="6"/>
        <v>6659.9999999999982</v>
      </c>
      <c r="N21" s="341">
        <f t="shared" si="4"/>
        <v>0.76509704139917645</v>
      </c>
      <c r="O21" s="340"/>
      <c r="P21" s="340"/>
      <c r="Q21" s="340"/>
      <c r="R21" s="340"/>
      <c r="S21" s="340"/>
      <c r="T21" s="340"/>
    </row>
    <row r="22" spans="1:20" s="88" customFormat="1" ht="17.55" thickBot="1" x14ac:dyDescent="0.3">
      <c r="A22" s="273" t="s">
        <v>187</v>
      </c>
      <c r="B22" s="265">
        <f>B18-B19</f>
        <v>2.7638297872340423</v>
      </c>
      <c r="C22" s="303">
        <f>C23+C24</f>
        <v>24874.468085106382</v>
      </c>
      <c r="D22" s="416">
        <f>C22/C9</f>
        <v>2.7638297872340423</v>
      </c>
      <c r="E22" s="422">
        <v>0</v>
      </c>
      <c r="F22" s="419">
        <f>(H22/C22)</f>
        <v>0</v>
      </c>
      <c r="G22" s="282">
        <f t="shared" si="1"/>
        <v>1</v>
      </c>
      <c r="H22" s="291">
        <f>H23+H24</f>
        <v>0</v>
      </c>
      <c r="I22" s="341">
        <f t="shared" si="2"/>
        <v>0</v>
      </c>
      <c r="J22" s="422">
        <v>0</v>
      </c>
      <c r="K22" s="429">
        <f t="shared" si="0"/>
        <v>0</v>
      </c>
      <c r="L22" s="293">
        <f t="shared" si="3"/>
        <v>0</v>
      </c>
      <c r="M22" s="291">
        <f>M23+M24</f>
        <v>24874.468085106382</v>
      </c>
      <c r="N22" s="341">
        <f t="shared" si="4"/>
        <v>2.8575648555995703</v>
      </c>
      <c r="O22" s="340"/>
      <c r="P22" s="340"/>
      <c r="Q22" s="340"/>
      <c r="R22" s="340"/>
      <c r="S22" s="340"/>
      <c r="T22" s="340"/>
    </row>
    <row r="23" spans="1:20" s="88" customFormat="1" ht="17.55" thickBot="1" x14ac:dyDescent="0.3">
      <c r="A23" s="272" t="s">
        <v>188</v>
      </c>
      <c r="B23" s="263"/>
      <c r="C23" s="302">
        <f>D23*C9</f>
        <v>8457.3191489361689</v>
      </c>
      <c r="D23" s="417">
        <f>0.34*B22</f>
        <v>0.93970212765957439</v>
      </c>
      <c r="E23" s="422">
        <v>0</v>
      </c>
      <c r="F23" s="420">
        <v>0</v>
      </c>
      <c r="G23" s="282">
        <f t="shared" si="1"/>
        <v>1</v>
      </c>
      <c r="H23" s="291">
        <f>C23*F23</f>
        <v>0</v>
      </c>
      <c r="I23" s="341">
        <f t="shared" si="2"/>
        <v>0</v>
      </c>
      <c r="J23" s="422">
        <v>0</v>
      </c>
      <c r="K23" s="429">
        <f t="shared" si="0"/>
        <v>0</v>
      </c>
      <c r="L23" s="293">
        <f t="shared" si="3"/>
        <v>0</v>
      </c>
      <c r="M23" s="291">
        <f t="shared" ref="M23:M24" si="7">($C23+$E23)*G23</f>
        <v>8457.3191489361689</v>
      </c>
      <c r="N23" s="341">
        <f t="shared" si="4"/>
        <v>0.97157205090385368</v>
      </c>
      <c r="O23" s="340"/>
      <c r="P23" s="340"/>
      <c r="Q23" s="340"/>
      <c r="R23" s="340"/>
      <c r="S23" s="340"/>
      <c r="T23" s="340"/>
    </row>
    <row r="24" spans="1:20" s="88" customFormat="1" ht="17.55" thickBot="1" x14ac:dyDescent="0.3">
      <c r="A24" s="273" t="s">
        <v>189</v>
      </c>
      <c r="B24" s="263"/>
      <c r="C24" s="302">
        <f>D24*C9</f>
        <v>16417.148936170212</v>
      </c>
      <c r="D24" s="417">
        <f>0.66*B22</f>
        <v>1.824127659574468</v>
      </c>
      <c r="E24" s="422">
        <v>0</v>
      </c>
      <c r="F24" s="420">
        <v>0</v>
      </c>
      <c r="G24" s="282">
        <f t="shared" si="1"/>
        <v>1</v>
      </c>
      <c r="H24" s="291">
        <f>C24*F24</f>
        <v>0</v>
      </c>
      <c r="I24" s="341">
        <f t="shared" si="2"/>
        <v>0</v>
      </c>
      <c r="J24" s="422">
        <v>0</v>
      </c>
      <c r="K24" s="429">
        <f t="shared" si="0"/>
        <v>0</v>
      </c>
      <c r="L24" s="293">
        <f t="shared" si="3"/>
        <v>0</v>
      </c>
      <c r="M24" s="291">
        <f t="shared" si="7"/>
        <v>16417.148936170212</v>
      </c>
      <c r="N24" s="293">
        <f t="shared" si="4"/>
        <v>1.8859928046957162</v>
      </c>
    </row>
    <row r="25" spans="1:20" s="88" customFormat="1" ht="21.3" thickBot="1" x14ac:dyDescent="0.4">
      <c r="A25" s="272" t="s">
        <v>190</v>
      </c>
      <c r="B25" s="295">
        <v>1.8</v>
      </c>
      <c r="C25" s="303">
        <f>C26+C29</f>
        <v>16200</v>
      </c>
      <c r="D25" s="415">
        <f>C25/C9</f>
        <v>1.8</v>
      </c>
      <c r="E25" s="422">
        <v>0</v>
      </c>
      <c r="F25" s="419">
        <f>(H25/C25)</f>
        <v>7.4000000000000023E-5</v>
      </c>
      <c r="G25" s="282">
        <f t="shared" si="1"/>
        <v>0.99992599999999998</v>
      </c>
      <c r="H25" s="291">
        <f>H26+H29</f>
        <v>1.1988000000000003</v>
      </c>
      <c r="I25" s="341">
        <f t="shared" si="2"/>
        <v>2.3143357578046101E-3</v>
      </c>
      <c r="J25" s="422">
        <v>0</v>
      </c>
      <c r="K25" s="429">
        <f t="shared" si="0"/>
        <v>1.1988000000000003</v>
      </c>
      <c r="L25" s="293">
        <f t="shared" si="3"/>
        <v>2.3143357578046101E-3</v>
      </c>
      <c r="M25" s="291">
        <f>M26+M29</f>
        <v>16198.8012</v>
      </c>
      <c r="N25" s="293">
        <f t="shared" si="4"/>
        <v>1.8609091399900051</v>
      </c>
    </row>
    <row r="26" spans="1:20" s="88" customFormat="1" ht="17.55" thickBot="1" x14ac:dyDescent="0.3">
      <c r="A26" s="273" t="s">
        <v>191</v>
      </c>
      <c r="B26" s="263"/>
      <c r="C26" s="303">
        <f>C27+C28</f>
        <v>810.00000000000011</v>
      </c>
      <c r="D26" s="416">
        <f>C26/C9</f>
        <v>9.0000000000000011E-2</v>
      </c>
      <c r="E26" s="422">
        <v>0</v>
      </c>
      <c r="F26" s="419">
        <f>(H26/C26)</f>
        <v>1E-3</v>
      </c>
      <c r="G26" s="282">
        <f t="shared" si="1"/>
        <v>0.999</v>
      </c>
      <c r="H26" s="291">
        <f>H27+H28</f>
        <v>0.81000000000000016</v>
      </c>
      <c r="I26" s="341">
        <f t="shared" si="2"/>
        <v>1.5637403768950066E-3</v>
      </c>
      <c r="J26" s="422">
        <v>0</v>
      </c>
      <c r="K26" s="429">
        <f t="shared" si="0"/>
        <v>0.81000000000000016</v>
      </c>
      <c r="L26" s="293">
        <f t="shared" si="3"/>
        <v>1.5637403768950066E-3</v>
      </c>
      <c r="M26" s="291">
        <f>M27+M28</f>
        <v>809.19000000000017</v>
      </c>
      <c r="N26" s="293">
        <f t="shared" si="4"/>
        <v>9.2959290529999988E-2</v>
      </c>
    </row>
    <row r="27" spans="1:20" s="88" customFormat="1" ht="17.55" thickBot="1" x14ac:dyDescent="0.3">
      <c r="A27" s="272" t="s">
        <v>192</v>
      </c>
      <c r="B27" s="100"/>
      <c r="C27" s="303">
        <f>D27*C9</f>
        <v>648.00000000000011</v>
      </c>
      <c r="D27" s="416">
        <f>0.04*B25</f>
        <v>7.2000000000000008E-2</v>
      </c>
      <c r="E27" s="422">
        <v>0</v>
      </c>
      <c r="F27" s="420">
        <v>0</v>
      </c>
      <c r="G27" s="282">
        <f t="shared" si="1"/>
        <v>1</v>
      </c>
      <c r="H27" s="291">
        <f>C27*F27</f>
        <v>0</v>
      </c>
      <c r="I27" s="341">
        <f t="shared" si="2"/>
        <v>0</v>
      </c>
      <c r="J27" s="422">
        <v>0</v>
      </c>
      <c r="K27" s="429">
        <f t="shared" si="0"/>
        <v>0</v>
      </c>
      <c r="L27" s="293">
        <f t="shared" si="3"/>
        <v>0</v>
      </c>
      <c r="M27" s="291">
        <f t="shared" ref="M27:M28" si="8">($C27+$E27)*G27</f>
        <v>648.00000000000011</v>
      </c>
      <c r="N27" s="293">
        <f t="shared" si="4"/>
        <v>7.444187429829828E-2</v>
      </c>
    </row>
    <row r="28" spans="1:20" s="88" customFormat="1" ht="17.55" thickBot="1" x14ac:dyDescent="0.3">
      <c r="A28" s="273" t="s">
        <v>193</v>
      </c>
      <c r="B28" s="266">
        <v>5.8999999999999997E-2</v>
      </c>
      <c r="C28" s="302">
        <f>D28*C9</f>
        <v>162.00000000000003</v>
      </c>
      <c r="D28" s="417">
        <f>0.01*B25</f>
        <v>1.8000000000000002E-2</v>
      </c>
      <c r="E28" s="422">
        <v>0</v>
      </c>
      <c r="F28" s="420">
        <v>5.0000000000000001E-3</v>
      </c>
      <c r="G28" s="282">
        <f t="shared" si="1"/>
        <v>0.995</v>
      </c>
      <c r="H28" s="291">
        <f>C28*F28</f>
        <v>0.81000000000000016</v>
      </c>
      <c r="I28" s="428">
        <f t="shared" si="2"/>
        <v>1.5637403768950066E-3</v>
      </c>
      <c r="J28" s="422">
        <v>0</v>
      </c>
      <c r="K28" s="429">
        <f t="shared" si="0"/>
        <v>0.81000000000000016</v>
      </c>
      <c r="L28" s="294">
        <f t="shared" si="3"/>
        <v>1.5637403768950066E-3</v>
      </c>
      <c r="M28" s="291">
        <f t="shared" si="8"/>
        <v>161.19000000000003</v>
      </c>
      <c r="N28" s="294">
        <f t="shared" si="4"/>
        <v>1.8517416231701698E-2</v>
      </c>
    </row>
    <row r="29" spans="1:20" s="88" customFormat="1" ht="17.55" thickBot="1" x14ac:dyDescent="0.3">
      <c r="A29" s="272" t="s">
        <v>194</v>
      </c>
      <c r="B29" s="100"/>
      <c r="C29" s="303">
        <f>C30+C31</f>
        <v>15390</v>
      </c>
      <c r="D29" s="416">
        <f>C29/C9</f>
        <v>1.71</v>
      </c>
      <c r="E29" s="422">
        <v>0</v>
      </c>
      <c r="F29" s="419">
        <f>(H29/C29)</f>
        <v>2.5263157894736845E-5</v>
      </c>
      <c r="G29" s="282">
        <f t="shared" si="1"/>
        <v>0.99997473684210525</v>
      </c>
      <c r="H29" s="291">
        <f>H30+H31</f>
        <v>0.38880000000000003</v>
      </c>
      <c r="I29" s="341">
        <f t="shared" si="2"/>
        <v>7.5059538090960318E-4</v>
      </c>
      <c r="J29" s="422">
        <v>0</v>
      </c>
      <c r="K29" s="429">
        <f t="shared" si="0"/>
        <v>0.38880000000000003</v>
      </c>
      <c r="L29" s="293">
        <f t="shared" si="3"/>
        <v>7.5059538090960318E-4</v>
      </c>
      <c r="M29" s="291">
        <f>M30+M31</f>
        <v>15389.611199999999</v>
      </c>
      <c r="N29" s="293">
        <f t="shared" si="4"/>
        <v>1.767949849460005</v>
      </c>
    </row>
    <row r="30" spans="1:20" s="88" customFormat="1" ht="17.55" thickBot="1" x14ac:dyDescent="0.3">
      <c r="A30" s="273" t="s">
        <v>195</v>
      </c>
      <c r="B30" s="100"/>
      <c r="C30" s="302">
        <f>D30*C9</f>
        <v>11502</v>
      </c>
      <c r="D30" s="417">
        <f>0.71*B25</f>
        <v>1.278</v>
      </c>
      <c r="E30" s="422">
        <v>0</v>
      </c>
      <c r="F30" s="420">
        <v>0</v>
      </c>
      <c r="G30" s="282">
        <f t="shared" si="1"/>
        <v>1</v>
      </c>
      <c r="H30" s="291">
        <f>C30*F30</f>
        <v>0</v>
      </c>
      <c r="I30" s="341">
        <f t="shared" si="2"/>
        <v>0</v>
      </c>
      <c r="J30" s="422">
        <v>0</v>
      </c>
      <c r="K30" s="429">
        <f t="shared" si="0"/>
        <v>0</v>
      </c>
      <c r="L30" s="293">
        <f t="shared" si="3"/>
        <v>0</v>
      </c>
      <c r="M30" s="291">
        <f t="shared" ref="M30:M31" si="9">($C30+$E30)*G30</f>
        <v>11502</v>
      </c>
      <c r="N30" s="293">
        <f t="shared" si="4"/>
        <v>1.3213432687947944</v>
      </c>
    </row>
    <row r="31" spans="1:20" s="88" customFormat="1" ht="17.55" thickBot="1" x14ac:dyDescent="0.3">
      <c r="A31" s="272" t="s">
        <v>196</v>
      </c>
      <c r="B31" s="100"/>
      <c r="C31" s="302">
        <f>D31*C9</f>
        <v>3888</v>
      </c>
      <c r="D31" s="417">
        <f>0.24*B25</f>
        <v>0.432</v>
      </c>
      <c r="E31" s="422">
        <v>0</v>
      </c>
      <c r="F31" s="420">
        <v>1E-4</v>
      </c>
      <c r="G31" s="282">
        <f t="shared" si="1"/>
        <v>0.99990000000000001</v>
      </c>
      <c r="H31" s="291">
        <f>C31*F31</f>
        <v>0.38880000000000003</v>
      </c>
      <c r="I31" s="341">
        <f t="shared" si="2"/>
        <v>7.5059538090960318E-4</v>
      </c>
      <c r="J31" s="422">
        <v>0</v>
      </c>
      <c r="K31" s="429">
        <f t="shared" si="0"/>
        <v>0.38880000000000003</v>
      </c>
      <c r="L31" s="293">
        <f t="shared" si="3"/>
        <v>7.5059538090960318E-4</v>
      </c>
      <c r="M31" s="291">
        <f t="shared" si="9"/>
        <v>3887.6111999999998</v>
      </c>
      <c r="N31" s="293">
        <f t="shared" si="4"/>
        <v>0.44660658066521064</v>
      </c>
    </row>
    <row r="32" spans="1:20" s="88" customFormat="1" ht="21.3" thickBot="1" x14ac:dyDescent="0.4">
      <c r="A32" s="273" t="s">
        <v>197</v>
      </c>
      <c r="B32" s="295">
        <f>6.2*0.83</f>
        <v>5.1459999999999999</v>
      </c>
      <c r="C32" s="303">
        <f>C33</f>
        <v>46314</v>
      </c>
      <c r="D32" s="415">
        <f>C32/C9</f>
        <v>5.1459999999999999</v>
      </c>
      <c r="E32" s="422">
        <v>0</v>
      </c>
      <c r="F32" s="419">
        <f>(H32/C32)</f>
        <v>8.6000000000000003E-5</v>
      </c>
      <c r="G32" s="282">
        <f t="shared" si="1"/>
        <v>0.99991399999999997</v>
      </c>
      <c r="H32" s="291">
        <f>H33</f>
        <v>3.9830040000000002</v>
      </c>
      <c r="I32" s="341">
        <f t="shared" si="2"/>
        <v>7.6893631804127388E-3</v>
      </c>
      <c r="J32" s="422">
        <v>0</v>
      </c>
      <c r="K32" s="429">
        <f t="shared" si="0"/>
        <v>3.9830040000000002</v>
      </c>
      <c r="L32" s="293">
        <f t="shared" si="3"/>
        <v>7.6893631804127388E-3</v>
      </c>
      <c r="M32" s="291">
        <f>M33</f>
        <v>46310.016995999998</v>
      </c>
      <c r="N32" s="293">
        <f t="shared" si="4"/>
        <v>5.3200686172350133</v>
      </c>
    </row>
    <row r="33" spans="1:14" s="88" customFormat="1" ht="17.55" thickBot="1" x14ac:dyDescent="0.3">
      <c r="A33" s="272" t="s">
        <v>198</v>
      </c>
      <c r="B33" s="263"/>
      <c r="C33" s="303">
        <f>C34+C35</f>
        <v>46314</v>
      </c>
      <c r="D33" s="416">
        <f>C33/C9</f>
        <v>5.1459999999999999</v>
      </c>
      <c r="E33" s="422">
        <v>0</v>
      </c>
      <c r="F33" s="419">
        <f>(H33/C33)</f>
        <v>8.6000000000000003E-5</v>
      </c>
      <c r="G33" s="282">
        <f t="shared" si="1"/>
        <v>0.99991399999999997</v>
      </c>
      <c r="H33" s="291">
        <f>H34+H35</f>
        <v>3.9830040000000002</v>
      </c>
      <c r="I33" s="341">
        <f t="shared" si="2"/>
        <v>7.6893631804127388E-3</v>
      </c>
      <c r="J33" s="422">
        <v>0</v>
      </c>
      <c r="K33" s="429">
        <f t="shared" si="0"/>
        <v>3.9830040000000002</v>
      </c>
      <c r="L33" s="293">
        <f t="shared" si="3"/>
        <v>7.6893631804127388E-3</v>
      </c>
      <c r="M33" s="291">
        <f>M34+M35</f>
        <v>46310.016995999998</v>
      </c>
      <c r="N33" s="293">
        <f t="shared" si="4"/>
        <v>5.3200686172350133</v>
      </c>
    </row>
    <row r="34" spans="1:14" s="88" customFormat="1" ht="17.55" thickBot="1" x14ac:dyDescent="0.3">
      <c r="A34" s="273" t="s">
        <v>199</v>
      </c>
      <c r="B34" s="100"/>
      <c r="C34" s="303">
        <f>D34*C9</f>
        <v>6483.9600000000009</v>
      </c>
      <c r="D34" s="416">
        <f>0.14*B32</f>
        <v>0.72044000000000008</v>
      </c>
      <c r="E34" s="422">
        <v>0</v>
      </c>
      <c r="F34" s="420">
        <v>0</v>
      </c>
      <c r="G34" s="282">
        <f t="shared" si="1"/>
        <v>1</v>
      </c>
      <c r="H34" s="291">
        <f>C34*F34</f>
        <v>0</v>
      </c>
      <c r="I34" s="341">
        <f t="shared" si="2"/>
        <v>0</v>
      </c>
      <c r="J34" s="422">
        <v>0</v>
      </c>
      <c r="K34" s="429">
        <f t="shared" si="0"/>
        <v>0</v>
      </c>
      <c r="L34" s="293">
        <f t="shared" si="3"/>
        <v>0</v>
      </c>
      <c r="M34" s="291">
        <f t="shared" ref="M34:M35" si="10">($C34+$E34)*G34</f>
        <v>6483.9600000000009</v>
      </c>
      <c r="N34" s="293">
        <f t="shared" si="4"/>
        <v>0.74487366554813916</v>
      </c>
    </row>
    <row r="35" spans="1:14" s="88" customFormat="1" ht="17.55" thickBot="1" x14ac:dyDescent="0.3">
      <c r="A35" s="272" t="s">
        <v>200</v>
      </c>
      <c r="B35" s="100"/>
      <c r="C35" s="302">
        <f>D35*C9</f>
        <v>39830.04</v>
      </c>
      <c r="D35" s="417">
        <f>0.86*B32</f>
        <v>4.4255599999999999</v>
      </c>
      <c r="E35" s="423">
        <v>0</v>
      </c>
      <c r="F35" s="420">
        <v>1E-4</v>
      </c>
      <c r="G35" s="282">
        <f t="shared" si="1"/>
        <v>0.99990000000000001</v>
      </c>
      <c r="H35" s="291">
        <f>C35*F35</f>
        <v>3.9830040000000002</v>
      </c>
      <c r="I35" s="341">
        <f t="shared" si="2"/>
        <v>7.6893631804127388E-3</v>
      </c>
      <c r="J35" s="423">
        <v>0</v>
      </c>
      <c r="K35" s="429">
        <f t="shared" si="0"/>
        <v>3.9830040000000002</v>
      </c>
      <c r="L35" s="293">
        <f t="shared" si="3"/>
        <v>7.6893631804127388E-3</v>
      </c>
      <c r="M35" s="291">
        <f t="shared" si="10"/>
        <v>39826.056995999999</v>
      </c>
      <c r="N35" s="293">
        <f t="shared" si="4"/>
        <v>4.575194951686874</v>
      </c>
    </row>
    <row r="36" spans="1:14" s="88" customFormat="1" ht="31" customHeight="1" x14ac:dyDescent="0.25"/>
    <row r="37" spans="1:14" s="365" customFormat="1" ht="15.05" thickBot="1" x14ac:dyDescent="0.3"/>
    <row r="38" spans="1:14" s="88" customFormat="1" ht="15.05" x14ac:dyDescent="0.3">
      <c r="A38" s="101"/>
      <c r="B38" s="101"/>
      <c r="C38" s="101"/>
      <c r="D38" s="101"/>
      <c r="E38" s="101"/>
      <c r="F38" s="101"/>
      <c r="G38" s="101"/>
      <c r="H38" s="101"/>
      <c r="I38" s="101"/>
      <c r="J38" s="101"/>
      <c r="K38" s="101"/>
      <c r="L38" s="101"/>
      <c r="M38" s="101"/>
      <c r="N38" s="101"/>
    </row>
    <row r="39" spans="1:14" x14ac:dyDescent="0.25">
      <c r="A39" s="263"/>
      <c r="B39" s="263"/>
      <c r="C39" s="263"/>
      <c r="D39" s="263"/>
      <c r="E39" s="263"/>
      <c r="F39" s="263"/>
      <c r="G39" s="263"/>
      <c r="H39" s="263"/>
      <c r="I39" s="263"/>
      <c r="J39" s="263"/>
      <c r="K39" s="263"/>
      <c r="L39" s="263"/>
      <c r="M39" s="263"/>
    </row>
  </sheetData>
  <mergeCells count="9">
    <mergeCell ref="C1:D1"/>
    <mergeCell ref="F1:G1"/>
    <mergeCell ref="H1:I1"/>
    <mergeCell ref="K1:L1"/>
    <mergeCell ref="M1:N1"/>
    <mergeCell ref="E4:F4"/>
    <mergeCell ref="J4:K4"/>
    <mergeCell ref="J5:K5"/>
    <mergeCell ref="L6:L8"/>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B59A5-9E16-4551-B3D2-9A52675C5D56}">
  <dimension ref="A1:AD39"/>
  <sheetViews>
    <sheetView zoomScale="60" zoomScaleNormal="60" workbookViewId="0">
      <pane xSplit="1" ySplit="3" topLeftCell="B4" activePane="bottomRight" state="frozen"/>
      <selection pane="topRight" activeCell="B1" sqref="B1"/>
      <selection pane="bottomLeft" activeCell="A4" sqref="A4"/>
      <selection pane="bottomRight" activeCell="S10" sqref="S10"/>
    </sheetView>
  </sheetViews>
  <sheetFormatPr defaultColWidth="10.796875" defaultRowHeight="14.4" x14ac:dyDescent="0.25"/>
  <cols>
    <col min="1" max="1" width="32.69921875" style="93" customWidth="1"/>
    <col min="2" max="2" width="30.296875" style="142" customWidth="1"/>
    <col min="3" max="3" width="20.5" style="142" customWidth="1"/>
    <col min="4" max="4" width="27.09765625" style="142" customWidth="1"/>
    <col min="5" max="5" width="25.59765625" style="142" customWidth="1"/>
    <col min="6" max="6" width="24" style="142" customWidth="1"/>
    <col min="7" max="7" width="31.69921875" style="142" customWidth="1"/>
    <col min="8" max="8" width="21" style="142" customWidth="1"/>
    <col min="9" max="9" width="21.796875" style="142" customWidth="1"/>
    <col min="10" max="10" width="17.19921875" style="142" customWidth="1"/>
    <col min="11" max="11" width="24" style="142" customWidth="1"/>
    <col min="12" max="12" width="24.296875" style="142" bestFit="1" customWidth="1"/>
    <col min="13" max="13" width="28.5" style="142" customWidth="1"/>
    <col min="14" max="14" width="20" style="145" customWidth="1"/>
    <col min="15" max="15" width="30" style="145" customWidth="1"/>
    <col min="16" max="16" width="17.19921875" style="145" customWidth="1"/>
    <col min="17" max="17" width="25.796875" style="145" customWidth="1"/>
    <col min="18" max="18" width="24.19921875" style="142" customWidth="1"/>
    <col min="19" max="19" width="22.69921875" style="142" customWidth="1"/>
    <col min="20" max="20" width="28.69921875" style="142" customWidth="1"/>
    <col min="21" max="21" width="9.296875" style="142" customWidth="1"/>
    <col min="23" max="24" width="15.296875" style="142" customWidth="1"/>
    <col min="25" max="25" width="16.296875" style="142" customWidth="1"/>
    <col min="26" max="26" width="21.296875" style="142" bestFit="1" customWidth="1"/>
    <col min="27" max="28" width="11.19921875" style="142" bestFit="1" customWidth="1"/>
    <col min="29" max="29" width="11" style="142" bestFit="1" customWidth="1"/>
    <col min="30" max="30" width="16.296875" style="142" customWidth="1"/>
    <col min="31" max="31" width="10.796875" style="142"/>
    <col min="32" max="32" width="13.19921875" style="142" customWidth="1"/>
    <col min="33" max="33" width="20.796875" style="142" customWidth="1"/>
    <col min="34" max="16384" width="10.796875" style="142"/>
  </cols>
  <sheetData>
    <row r="1" spans="1:30" s="263" customFormat="1" ht="49.15" customHeight="1" thickBot="1" x14ac:dyDescent="0.5">
      <c r="A1" s="271"/>
      <c r="B1" s="295" t="s">
        <v>359</v>
      </c>
      <c r="C1" s="496" t="s">
        <v>363</v>
      </c>
      <c r="D1" s="497"/>
      <c r="E1" s="279"/>
      <c r="F1" s="498" t="s">
        <v>238</v>
      </c>
      <c r="G1" s="499"/>
      <c r="H1" s="501" t="s">
        <v>377</v>
      </c>
      <c r="I1" s="501"/>
      <c r="J1" s="501" t="s">
        <v>387</v>
      </c>
      <c r="K1" s="501"/>
      <c r="L1" s="498" t="s">
        <v>399</v>
      </c>
      <c r="M1" s="499"/>
      <c r="N1" s="501" t="s">
        <v>402</v>
      </c>
      <c r="O1" s="501"/>
      <c r="P1" s="501" t="s">
        <v>403</v>
      </c>
      <c r="Q1" s="501"/>
      <c r="S1" s="506" t="s">
        <v>376</v>
      </c>
      <c r="T1" s="506"/>
    </row>
    <row r="2" spans="1:30" s="263" customFormat="1" ht="50.75" x14ac:dyDescent="0.25">
      <c r="A2" s="383" t="s">
        <v>398</v>
      </c>
      <c r="B2" s="332" t="s">
        <v>368</v>
      </c>
      <c r="C2" s="333" t="s">
        <v>171</v>
      </c>
      <c r="D2" s="334" t="s">
        <v>360</v>
      </c>
      <c r="E2" s="335" t="s">
        <v>364</v>
      </c>
      <c r="F2" s="366" t="s">
        <v>386</v>
      </c>
      <c r="G2" s="366" t="s">
        <v>374</v>
      </c>
      <c r="H2" s="367" t="s">
        <v>1</v>
      </c>
      <c r="I2" s="338" t="s">
        <v>113</v>
      </c>
      <c r="J2" s="337" t="s">
        <v>1</v>
      </c>
      <c r="K2" s="338" t="s">
        <v>113</v>
      </c>
      <c r="L2" s="366" t="s">
        <v>400</v>
      </c>
      <c r="M2" s="366" t="s">
        <v>401</v>
      </c>
      <c r="N2" s="367" t="s">
        <v>1</v>
      </c>
      <c r="O2" s="338" t="s">
        <v>113</v>
      </c>
      <c r="P2" s="367" t="s">
        <v>1</v>
      </c>
      <c r="Q2" s="338" t="s">
        <v>113</v>
      </c>
      <c r="R2" s="335" t="s">
        <v>364</v>
      </c>
      <c r="S2" s="337" t="s">
        <v>1</v>
      </c>
      <c r="T2" s="338" t="s">
        <v>113</v>
      </c>
    </row>
    <row r="3" spans="1:30" s="263" customFormat="1" ht="23.2" thickBot="1" x14ac:dyDescent="0.3">
      <c r="A3" s="331">
        <v>0.8</v>
      </c>
      <c r="B3" s="330" t="s">
        <v>379</v>
      </c>
      <c r="C3" s="322"/>
      <c r="D3" s="276" t="s">
        <v>130</v>
      </c>
      <c r="I3" s="276" t="s">
        <v>130</v>
      </c>
      <c r="K3" s="276" t="s">
        <v>130</v>
      </c>
      <c r="O3" s="276" t="s">
        <v>130</v>
      </c>
      <c r="Q3" s="276" t="s">
        <v>130</v>
      </c>
      <c r="T3" s="276" t="s">
        <v>130</v>
      </c>
    </row>
    <row r="4" spans="1:30" ht="18.649999999999999" customHeight="1" thickBot="1" x14ac:dyDescent="0.35">
      <c r="C4" s="144"/>
      <c r="D4" s="85"/>
      <c r="E4" s="507" t="s">
        <v>388</v>
      </c>
      <c r="F4" s="508"/>
      <c r="G4" s="368" t="s">
        <v>389</v>
      </c>
      <c r="H4" s="378">
        <v>750</v>
      </c>
      <c r="I4" s="368" t="s">
        <v>393</v>
      </c>
      <c r="J4" s="379">
        <v>176</v>
      </c>
      <c r="L4" s="263"/>
      <c r="O4" s="101"/>
      <c r="W4" s="88"/>
      <c r="X4" s="88"/>
      <c r="Y4" s="111"/>
      <c r="Z4" s="109"/>
      <c r="AA4" s="263"/>
      <c r="AB4" s="263"/>
      <c r="AC4" s="263"/>
      <c r="AD4" s="263"/>
    </row>
    <row r="5" spans="1:30" s="88" customFormat="1" ht="21.3" x14ac:dyDescent="0.4">
      <c r="A5" s="93"/>
      <c r="E5" s="396">
        <f>J9/1000</f>
        <v>0.72600848303393206</v>
      </c>
      <c r="F5" s="371"/>
      <c r="G5" s="369" t="s">
        <v>390</v>
      </c>
      <c r="H5" s="380">
        <v>36</v>
      </c>
      <c r="I5" s="369" t="s">
        <v>395</v>
      </c>
      <c r="J5" s="381">
        <v>169</v>
      </c>
      <c r="K5" s="101"/>
      <c r="L5" s="263"/>
      <c r="M5" s="101"/>
      <c r="O5" s="101"/>
      <c r="Q5" s="101"/>
      <c r="R5" s="387" t="s">
        <v>380</v>
      </c>
      <c r="S5" s="388"/>
      <c r="T5" s="348" t="s">
        <v>381</v>
      </c>
      <c r="U5" s="349"/>
      <c r="V5" s="350"/>
      <c r="X5" s="356" t="s">
        <v>384</v>
      </c>
      <c r="Y5" s="357"/>
    </row>
    <row r="6" spans="1:30" s="88" customFormat="1" ht="20.350000000000001" customHeight="1" x14ac:dyDescent="0.4">
      <c r="A6" s="271"/>
      <c r="E6" s="394">
        <f>E5*1000</f>
        <v>726.00848303393207</v>
      </c>
      <c r="F6" s="372" t="s">
        <v>202</v>
      </c>
      <c r="G6" s="369" t="s">
        <v>391</v>
      </c>
      <c r="H6" s="380">
        <v>0.26</v>
      </c>
      <c r="I6" s="369" t="s">
        <v>396</v>
      </c>
      <c r="J6" s="381">
        <v>0.28999999999999998</v>
      </c>
      <c r="L6" s="263"/>
      <c r="M6" s="101"/>
      <c r="R6" s="307" t="s">
        <v>383</v>
      </c>
      <c r="S6" s="390"/>
      <c r="T6" s="393">
        <f>(((N22/Y6)/2)*Y11)/N10</f>
        <v>140.13523337690904</v>
      </c>
      <c r="U6" s="343" t="s">
        <v>382</v>
      </c>
      <c r="V6" s="351"/>
      <c r="W6" s="101"/>
      <c r="X6" s="358" t="s">
        <v>131</v>
      </c>
      <c r="Y6" s="359">
        <v>14.01</v>
      </c>
      <c r="AA6" s="101"/>
    </row>
    <row r="7" spans="1:30" s="88" customFormat="1" ht="19.25" customHeight="1" x14ac:dyDescent="0.35">
      <c r="A7" s="271"/>
      <c r="D7" s="340"/>
      <c r="E7" s="373">
        <f>E6/E8</f>
        <v>355.88651129114317</v>
      </c>
      <c r="F7" s="374" t="s">
        <v>130</v>
      </c>
      <c r="G7" s="369" t="s">
        <v>397</v>
      </c>
      <c r="H7" s="380">
        <v>0.11</v>
      </c>
      <c r="I7" s="340"/>
      <c r="J7" s="377"/>
      <c r="K7" s="139"/>
      <c r="L7" s="263"/>
      <c r="M7" s="101"/>
      <c r="N7" s="139"/>
      <c r="O7" s="139"/>
      <c r="Q7" s="139"/>
      <c r="R7" s="307"/>
      <c r="S7" s="306"/>
      <c r="T7" s="391" t="s">
        <v>385</v>
      </c>
      <c r="U7" s="343"/>
      <c r="V7" s="352"/>
      <c r="W7" s="139"/>
      <c r="X7" s="358" t="s">
        <v>132</v>
      </c>
      <c r="Y7" s="359">
        <v>18.02</v>
      </c>
      <c r="Z7" s="139"/>
      <c r="AA7" s="140"/>
      <c r="AC7" s="139"/>
      <c r="AD7" s="139"/>
    </row>
    <row r="8" spans="1:30" s="88" customFormat="1" ht="20.350000000000001" customHeight="1" x14ac:dyDescent="0.4">
      <c r="A8" s="271"/>
      <c r="C8" s="91"/>
      <c r="D8" s="91"/>
      <c r="E8" s="376">
        <v>2.04</v>
      </c>
      <c r="F8" s="372" t="s">
        <v>201</v>
      </c>
      <c r="G8" s="369" t="s">
        <v>392</v>
      </c>
      <c r="H8" s="380">
        <v>0.14000000000000001</v>
      </c>
      <c r="I8" s="395" t="s">
        <v>140</v>
      </c>
      <c r="J8" s="397">
        <f>(J5/Y13)*Y14</f>
        <v>574.04341317365265</v>
      </c>
      <c r="K8" s="189"/>
      <c r="L8" s="263"/>
      <c r="M8" s="101"/>
      <c r="N8" s="189"/>
      <c r="O8" s="189"/>
      <c r="P8" s="189"/>
      <c r="Q8" s="189"/>
      <c r="R8" s="307">
        <v>1</v>
      </c>
      <c r="S8" s="306" t="s">
        <v>201</v>
      </c>
      <c r="T8" s="391"/>
      <c r="U8" s="344">
        <v>380</v>
      </c>
      <c r="V8" s="353" t="s">
        <v>130</v>
      </c>
      <c r="W8" s="101"/>
      <c r="X8" s="358" t="s">
        <v>133</v>
      </c>
      <c r="Y8" s="359">
        <v>18.04</v>
      </c>
      <c r="Z8" s="189"/>
      <c r="AA8" s="141"/>
    </row>
    <row r="9" spans="1:30" s="88" customFormat="1" ht="53.25" thickBot="1" x14ac:dyDescent="0.45">
      <c r="A9" s="271"/>
      <c r="C9" s="91"/>
      <c r="D9" s="91"/>
      <c r="E9" s="431">
        <f>(E10/E8)/(C10/1000)</f>
        <v>6.6383889186606062</v>
      </c>
      <c r="F9" s="375" t="s">
        <v>404</v>
      </c>
      <c r="G9" s="370" t="s">
        <v>394</v>
      </c>
      <c r="H9" s="382">
        <v>0.19</v>
      </c>
      <c r="I9" s="398" t="s">
        <v>141</v>
      </c>
      <c r="J9" s="399">
        <f>(J5/Y13)*Y12</f>
        <v>726.00848303393207</v>
      </c>
      <c r="K9" s="264"/>
      <c r="L9" s="263"/>
      <c r="M9" s="101"/>
      <c r="N9" s="264"/>
      <c r="O9" s="264"/>
      <c r="P9" s="264"/>
      <c r="Q9" s="264"/>
      <c r="R9" s="307">
        <f>R10/(N10/1000)</f>
        <v>0</v>
      </c>
      <c r="S9" s="389" t="str">
        <f>CONCATENATE("L ",R5,"/ton initial AmmS solution")</f>
        <v>L water for dilution needed/ton initial AmmS solution</v>
      </c>
      <c r="T9" s="392"/>
      <c r="U9" s="354"/>
      <c r="V9" s="355"/>
      <c r="W9" s="101"/>
      <c r="X9" s="358" t="s">
        <v>103</v>
      </c>
      <c r="Y9" s="359">
        <v>98.08</v>
      </c>
      <c r="Z9" s="264"/>
      <c r="AA9" s="141"/>
    </row>
    <row r="10" spans="1:30" s="88" customFormat="1" ht="21.3" thickBot="1" x14ac:dyDescent="0.4">
      <c r="A10" s="272" t="s">
        <v>361</v>
      </c>
      <c r="B10" s="295">
        <v>222000</v>
      </c>
      <c r="C10" s="280">
        <f>B10</f>
        <v>222000</v>
      </c>
      <c r="D10" s="411"/>
      <c r="E10" s="432">
        <f>((($J$22/$Y$6)/2)*$Y$12/$E$5)/1000</f>
        <v>3006.3935734830152</v>
      </c>
      <c r="F10" s="452">
        <f>(J10/(C10+E10))</f>
        <v>7.9170491515380331E-2</v>
      </c>
      <c r="G10" s="282">
        <f>100%-F10</f>
        <v>0.92082950848461964</v>
      </c>
      <c r="H10" s="346">
        <f>(H11+H12)/1000</f>
        <v>207192.52680016722</v>
      </c>
      <c r="I10" s="345"/>
      <c r="J10" s="346">
        <f>(J11+J12)/1000</f>
        <v>17813.866773315764</v>
      </c>
      <c r="K10" s="292"/>
      <c r="L10" s="452">
        <f>(N10/J10)</f>
        <v>0.53681367973493643</v>
      </c>
      <c r="M10" s="282">
        <f>100%-L10</f>
        <v>0.46318632026506357</v>
      </c>
      <c r="N10" s="291">
        <f>(N11+N12)/1000</f>
        <v>9562.7273728915534</v>
      </c>
      <c r="O10" s="292"/>
      <c r="P10" s="291">
        <f>(P11+P12)/1000</f>
        <v>8251.1394004242102</v>
      </c>
      <c r="Q10" s="427"/>
      <c r="R10" s="421">
        <f>(R11+R12)/1000</f>
        <v>0</v>
      </c>
      <c r="S10" s="429">
        <f t="shared" ref="S10:S36" si="0">N10+R10</f>
        <v>9562.7273728915534</v>
      </c>
      <c r="T10" s="292"/>
      <c r="U10" s="101"/>
      <c r="W10" s="97"/>
      <c r="X10" s="358" t="s">
        <v>138</v>
      </c>
      <c r="Y10" s="359">
        <v>96.08</v>
      </c>
    </row>
    <row r="11" spans="1:30" s="88" customFormat="1" ht="17.55" thickBot="1" x14ac:dyDescent="0.3">
      <c r="A11" s="273" t="s">
        <v>175</v>
      </c>
      <c r="B11" s="384">
        <f>H19/1000</f>
        <v>1057.6625260033934</v>
      </c>
      <c r="C11" s="283">
        <f>(C10*1000)-C12</f>
        <v>195360000</v>
      </c>
      <c r="D11" s="412"/>
      <c r="E11" s="433">
        <f>(E10*1000)-E12</f>
        <v>751598.39337075409</v>
      </c>
      <c r="F11" s="451">
        <v>0.05</v>
      </c>
      <c r="G11" s="282">
        <f>100%-F11</f>
        <v>0.95</v>
      </c>
      <c r="H11" s="291">
        <f>($C11+$E11)*G11</f>
        <v>186306018.47370219</v>
      </c>
      <c r="I11" s="293">
        <f>H11/$H$10</f>
        <v>899.19275251365787</v>
      </c>
      <c r="J11" s="291">
        <f>($C11+$E11)*F11</f>
        <v>9805579.9196685385</v>
      </c>
      <c r="K11" s="293">
        <f>J11/$J$10</f>
        <v>550.44646086366731</v>
      </c>
      <c r="L11" s="451">
        <v>0.8</v>
      </c>
      <c r="M11" s="282">
        <f>100%-L11</f>
        <v>0.19999999999999996</v>
      </c>
      <c r="N11" s="291">
        <f>($J11)*L11</f>
        <v>7844463.9357348308</v>
      </c>
      <c r="O11" s="293">
        <f>N11/$N$10</f>
        <v>820.31659272984598</v>
      </c>
      <c r="P11" s="291">
        <f>($J11)*M11</f>
        <v>1961115.9839337072</v>
      </c>
      <c r="Q11" s="341">
        <f>P11/$P$10</f>
        <v>237.67820282285882</v>
      </c>
      <c r="R11" s="422">
        <f>(IF(((N10*(T6/U8))-N10)&lt;0,0,((N10*(T6/W18))-N10)))*1000</f>
        <v>0</v>
      </c>
      <c r="S11" s="429">
        <f t="shared" si="0"/>
        <v>7844463.9357348308</v>
      </c>
      <c r="T11" s="293">
        <f>S11/$S$10</f>
        <v>820.31659272984598</v>
      </c>
      <c r="X11" s="358" t="s">
        <v>129</v>
      </c>
      <c r="Y11" s="359">
        <f>Y8*2+96.06</f>
        <v>132.13999999999999</v>
      </c>
    </row>
    <row r="12" spans="1:30" s="88" customFormat="1" ht="21.3" thickBot="1" x14ac:dyDescent="0.4">
      <c r="A12" s="272" t="s">
        <v>176</v>
      </c>
      <c r="B12" s="295">
        <v>120</v>
      </c>
      <c r="C12" s="280">
        <f>C13+C16</f>
        <v>26639999.999999996</v>
      </c>
      <c r="D12" s="413">
        <f>C12/C10</f>
        <v>119.99999999999999</v>
      </c>
      <c r="E12" s="434">
        <f>H4*$E$10</f>
        <v>2254795.1801122613</v>
      </c>
      <c r="F12" s="419">
        <f>(J12/(C12+E12))</f>
        <v>0.27715326596809309</v>
      </c>
      <c r="G12" s="282">
        <f>100%-F12</f>
        <v>0.72284673403190691</v>
      </c>
      <c r="H12" s="291">
        <f>H13+H16</f>
        <v>20886508.326465033</v>
      </c>
      <c r="I12" s="293">
        <f t="shared" ref="I12:I36" si="1">H12/$H$10</f>
        <v>100.80724748634213</v>
      </c>
      <c r="J12" s="291">
        <f>J13+J16</f>
        <v>8008286.8536472265</v>
      </c>
      <c r="K12" s="293">
        <f t="shared" ref="K12:K36" si="2">J12/$J$10</f>
        <v>449.5535391363328</v>
      </c>
      <c r="L12" s="419">
        <f>(N12/J12)</f>
        <v>0.21456067553001942</v>
      </c>
      <c r="M12" s="282">
        <f t="shared" ref="M12:M36" si="3">100%-L12</f>
        <v>0.78543932446998055</v>
      </c>
      <c r="N12" s="291">
        <f>N13+N16</f>
        <v>1718263.4371567226</v>
      </c>
      <c r="O12" s="293">
        <f t="shared" ref="O12:O36" si="4">N12/$N$10</f>
        <v>179.68340727015399</v>
      </c>
      <c r="P12" s="291">
        <f>P13+P16</f>
        <v>6290023.4164905036</v>
      </c>
      <c r="Q12" s="341">
        <f t="shared" ref="Q12:Q36" si="5">P12/$P$10</f>
        <v>762.32179717714121</v>
      </c>
      <c r="R12" s="422">
        <v>0</v>
      </c>
      <c r="S12" s="429">
        <f t="shared" si="0"/>
        <v>1718263.4371567226</v>
      </c>
      <c r="T12" s="293">
        <f>S12/$S$10</f>
        <v>179.68340727015399</v>
      </c>
      <c r="X12" s="358" t="s">
        <v>135</v>
      </c>
      <c r="Y12" s="359">
        <f>Y14+2*Y7</f>
        <v>172.17999999999998</v>
      </c>
    </row>
    <row r="13" spans="1:30" s="88" customFormat="1" ht="17.55" thickBot="1" x14ac:dyDescent="0.3">
      <c r="A13" s="273" t="s">
        <v>177</v>
      </c>
      <c r="B13" s="384">
        <f>B12-B16</f>
        <v>50</v>
      </c>
      <c r="C13" s="280">
        <f>C14+C15</f>
        <v>11100000</v>
      </c>
      <c r="D13" s="414">
        <f>C13/C10</f>
        <v>50</v>
      </c>
      <c r="E13" s="435">
        <f>E12-E16</f>
        <v>2146565.0114668729</v>
      </c>
      <c r="F13" s="419">
        <f>(J13/(C13+E13))</f>
        <v>0.5809296405228731</v>
      </c>
      <c r="G13" s="282">
        <f>100%-F13</f>
        <v>0.4190703594771269</v>
      </c>
      <c r="H13" s="291">
        <f>H14+H15</f>
        <v>5551242.7611925546</v>
      </c>
      <c r="I13" s="293">
        <f t="shared" si="1"/>
        <v>26.792678514638755</v>
      </c>
      <c r="J13" s="291">
        <f>J14+J15</f>
        <v>7695322.2502743183</v>
      </c>
      <c r="K13" s="293">
        <f t="shared" si="2"/>
        <v>431.98494454901316</v>
      </c>
      <c r="L13" s="419">
        <f>(N13/J13)</f>
        <v>0.22247335321509584</v>
      </c>
      <c r="M13" s="282">
        <f t="shared" si="3"/>
        <v>0.77752664678490413</v>
      </c>
      <c r="N13" s="291">
        <f>N14+N15</f>
        <v>1712004.1450892645</v>
      </c>
      <c r="O13" s="293">
        <f t="shared" si="4"/>
        <v>179.02885634306156</v>
      </c>
      <c r="P13" s="291">
        <f>P14+P15</f>
        <v>5983318.1051850542</v>
      </c>
      <c r="Q13" s="341">
        <f t="shared" si="5"/>
        <v>725.15052949868209</v>
      </c>
      <c r="R13" s="422">
        <v>0</v>
      </c>
      <c r="S13" s="429">
        <f t="shared" si="0"/>
        <v>1712004.1450892645</v>
      </c>
      <c r="T13" s="293">
        <f t="shared" ref="T13:T35" si="6">S13/$S$10</f>
        <v>179.02885634306156</v>
      </c>
      <c r="X13" s="358" t="s">
        <v>137</v>
      </c>
      <c r="Y13" s="359">
        <v>40.08</v>
      </c>
    </row>
    <row r="14" spans="1:30" s="88" customFormat="1" ht="17.55" thickBot="1" x14ac:dyDescent="0.3">
      <c r="A14" s="272" t="s">
        <v>178</v>
      </c>
      <c r="B14" s="385">
        <f>B21+B28+B31+0.156+0.095+0.72+1.6+0.11</f>
        <v>3.6283684210526315</v>
      </c>
      <c r="C14" s="283">
        <f>D14*C10</f>
        <v>5550000</v>
      </c>
      <c r="D14" s="412">
        <f>1/2*B13</f>
        <v>25</v>
      </c>
      <c r="E14" s="435">
        <f>E13*90%</f>
        <v>1931908.5103201857</v>
      </c>
      <c r="F14" s="420">
        <v>0.99</v>
      </c>
      <c r="G14" s="282">
        <f t="shared" ref="G14:G36" si="7">100%-F14</f>
        <v>1.0000000000000009E-2</v>
      </c>
      <c r="H14" s="291">
        <f>($C14+$E14)*G14</f>
        <v>74819.085103201927</v>
      </c>
      <c r="I14" s="293">
        <f t="shared" si="1"/>
        <v>0.36110899489808018</v>
      </c>
      <c r="J14" s="291">
        <f>($C14+$E14)*F14</f>
        <v>7407089.425216984</v>
      </c>
      <c r="K14" s="293">
        <f t="shared" si="2"/>
        <v>415.80469414492393</v>
      </c>
      <c r="L14" s="420">
        <v>0.2</v>
      </c>
      <c r="M14" s="282">
        <f t="shared" si="3"/>
        <v>0.8</v>
      </c>
      <c r="N14" s="291">
        <f t="shared" ref="N14:N15" si="8">($J14)*L14</f>
        <v>1481417.8850433968</v>
      </c>
      <c r="O14" s="293">
        <f t="shared" si="4"/>
        <v>154.91583387004471</v>
      </c>
      <c r="P14" s="291">
        <f t="shared" ref="P14:P15" si="9">($J14)*M14</f>
        <v>5925671.5401735874</v>
      </c>
      <c r="Q14" s="341">
        <f t="shared" si="5"/>
        <v>718.16403197223099</v>
      </c>
      <c r="R14" s="422">
        <v>0</v>
      </c>
      <c r="S14" s="429">
        <f t="shared" si="0"/>
        <v>1481417.8850433968</v>
      </c>
      <c r="T14" s="293">
        <f t="shared" si="6"/>
        <v>154.91583387004471</v>
      </c>
      <c r="X14" s="358" t="s">
        <v>136</v>
      </c>
      <c r="Y14" s="359">
        <v>136.13999999999999</v>
      </c>
    </row>
    <row r="15" spans="1:30" s="88" customFormat="1" ht="17.55" thickBot="1" x14ac:dyDescent="0.3">
      <c r="A15" s="273" t="s">
        <v>179</v>
      </c>
      <c r="B15" s="385">
        <f>B13-B14</f>
        <v>46.371631578947365</v>
      </c>
      <c r="C15" s="302">
        <f>D15*C10</f>
        <v>5550000</v>
      </c>
      <c r="D15" s="412">
        <f>1/2*B13</f>
        <v>25</v>
      </c>
      <c r="E15" s="435">
        <f>E13*10%</f>
        <v>214656.50114668731</v>
      </c>
      <c r="F15" s="420">
        <v>0.05</v>
      </c>
      <c r="G15" s="282">
        <f t="shared" si="7"/>
        <v>0.95</v>
      </c>
      <c r="H15" s="364">
        <f>($C15+$E15)*G15</f>
        <v>5476423.6760893529</v>
      </c>
      <c r="I15" s="293">
        <f t="shared" si="1"/>
        <v>26.431569519740677</v>
      </c>
      <c r="J15" s="364">
        <f>($C15+$E15)*F15</f>
        <v>288232.82505733438</v>
      </c>
      <c r="K15" s="293">
        <f t="shared" si="2"/>
        <v>16.180250404089247</v>
      </c>
      <c r="L15" s="420">
        <v>0.8</v>
      </c>
      <c r="M15" s="282">
        <f t="shared" si="3"/>
        <v>0.19999999999999996</v>
      </c>
      <c r="N15" s="364">
        <f t="shared" si="8"/>
        <v>230586.26004586753</v>
      </c>
      <c r="O15" s="293">
        <f t="shared" si="4"/>
        <v>24.113022473016862</v>
      </c>
      <c r="P15" s="364">
        <f t="shared" si="9"/>
        <v>57646.565011466861</v>
      </c>
      <c r="Q15" s="341">
        <f t="shared" si="5"/>
        <v>6.986497526451088</v>
      </c>
      <c r="R15" s="422">
        <v>0</v>
      </c>
      <c r="S15" s="438">
        <f t="shared" si="0"/>
        <v>230586.26004586753</v>
      </c>
      <c r="T15" s="293">
        <f t="shared" si="6"/>
        <v>24.113022473016862</v>
      </c>
    </row>
    <row r="16" spans="1:30" s="88" customFormat="1" ht="21.95" thickBot="1" x14ac:dyDescent="0.45">
      <c r="A16" s="272" t="s">
        <v>180</v>
      </c>
      <c r="B16" s="295">
        <v>70</v>
      </c>
      <c r="C16" s="303">
        <f>C17+C18</f>
        <v>15539999.999999996</v>
      </c>
      <c r="D16" s="413">
        <f>C16/C10</f>
        <v>69.999999999999986</v>
      </c>
      <c r="E16" s="434">
        <f>H5*$E$10</f>
        <v>108230.16864538855</v>
      </c>
      <c r="F16" s="419">
        <f>(J16/(C16+E16))</f>
        <v>0.02</v>
      </c>
      <c r="G16" s="282">
        <f t="shared" si="7"/>
        <v>0.98</v>
      </c>
      <c r="H16" s="291">
        <f>H17+H18</f>
        <v>15335265.565272478</v>
      </c>
      <c r="I16" s="293">
        <f t="shared" si="1"/>
        <v>74.014568971703383</v>
      </c>
      <c r="J16" s="291">
        <f>J17+J18</f>
        <v>312964.60337290773</v>
      </c>
      <c r="K16" s="293">
        <f t="shared" si="2"/>
        <v>17.568594587319598</v>
      </c>
      <c r="L16" s="419">
        <f>(N16/J16)</f>
        <v>0.02</v>
      </c>
      <c r="M16" s="282">
        <f t="shared" si="3"/>
        <v>0.98</v>
      </c>
      <c r="N16" s="291">
        <f>N17+N18</f>
        <v>6259.2920674581546</v>
      </c>
      <c r="O16" s="293">
        <f t="shared" si="4"/>
        <v>0.65455092709241236</v>
      </c>
      <c r="P16" s="291">
        <f>P17+P18</f>
        <v>306705.31130544958</v>
      </c>
      <c r="Q16" s="341">
        <f t="shared" si="5"/>
        <v>37.171267678459188</v>
      </c>
      <c r="R16" s="422">
        <v>0</v>
      </c>
      <c r="S16" s="429">
        <f t="shared" si="0"/>
        <v>6259.2920674581546</v>
      </c>
      <c r="T16" s="293">
        <f t="shared" si="6"/>
        <v>0.65455092709241236</v>
      </c>
      <c r="Z16" s="146"/>
    </row>
    <row r="17" spans="1:26" s="88" customFormat="1" ht="21.95" thickBot="1" x14ac:dyDescent="0.45">
      <c r="A17" s="273" t="s">
        <v>181</v>
      </c>
      <c r="B17" s="263"/>
      <c r="C17" s="302">
        <f>D17*C10</f>
        <v>11033399.999999998</v>
      </c>
      <c r="D17" s="412">
        <f>71%*B16</f>
        <v>49.699999999999996</v>
      </c>
      <c r="E17" s="435">
        <f>E16*90%</f>
        <v>97407.151780849701</v>
      </c>
      <c r="F17" s="420">
        <v>0.02</v>
      </c>
      <c r="G17" s="282">
        <f t="shared" si="7"/>
        <v>0.98</v>
      </c>
      <c r="H17" s="291">
        <f>($C17+$E17)*G17</f>
        <v>10908191.008745231</v>
      </c>
      <c r="I17" s="293">
        <f t="shared" si="1"/>
        <v>52.647608372795936</v>
      </c>
      <c r="J17" s="291">
        <f>($C17+$E17)*F17</f>
        <v>222616.14303561696</v>
      </c>
      <c r="K17" s="293">
        <f t="shared" si="2"/>
        <v>12.496789488124175</v>
      </c>
      <c r="L17" s="420">
        <v>0.02</v>
      </c>
      <c r="M17" s="282">
        <f t="shared" si="3"/>
        <v>0.98</v>
      </c>
      <c r="N17" s="291">
        <f t="shared" ref="N17:N18" si="10">($J17)*L17</f>
        <v>4452.3228607123392</v>
      </c>
      <c r="O17" s="293">
        <f t="shared" si="4"/>
        <v>0.46559132003844389</v>
      </c>
      <c r="P17" s="291">
        <f t="shared" ref="P17:P18" si="11">($J17)*M17</f>
        <v>218163.82017490463</v>
      </c>
      <c r="Q17" s="341">
        <f t="shared" si="5"/>
        <v>26.440447747578755</v>
      </c>
      <c r="R17" s="422">
        <v>0</v>
      </c>
      <c r="S17" s="429">
        <f t="shared" si="0"/>
        <v>4452.3228607123392</v>
      </c>
      <c r="T17" s="293">
        <f t="shared" si="6"/>
        <v>0.46559132003844389</v>
      </c>
      <c r="Z17" s="146"/>
    </row>
    <row r="18" spans="1:26" s="88" customFormat="1" ht="21.95" thickBot="1" x14ac:dyDescent="0.45">
      <c r="A18" s="272" t="s">
        <v>182</v>
      </c>
      <c r="B18" s="263"/>
      <c r="C18" s="302">
        <f>D18*C10</f>
        <v>4506599.9999999991</v>
      </c>
      <c r="D18" s="412">
        <f>29%*B16</f>
        <v>20.299999999999997</v>
      </c>
      <c r="E18" s="435">
        <f>E16*10%</f>
        <v>10823.016864538855</v>
      </c>
      <c r="F18" s="420">
        <v>0.02</v>
      </c>
      <c r="G18" s="282">
        <f t="shared" si="7"/>
        <v>0.98</v>
      </c>
      <c r="H18" s="291">
        <f>($C18+$E18)*G18</f>
        <v>4427074.5565272477</v>
      </c>
      <c r="I18" s="293">
        <f t="shared" si="1"/>
        <v>21.366960598907443</v>
      </c>
      <c r="J18" s="291">
        <f>($C18+$E18)*F18</f>
        <v>90348.460337290759</v>
      </c>
      <c r="K18" s="293">
        <f t="shared" si="2"/>
        <v>5.0718050991954202</v>
      </c>
      <c r="L18" s="420">
        <v>0.02</v>
      </c>
      <c r="M18" s="282">
        <f t="shared" si="3"/>
        <v>0.98</v>
      </c>
      <c r="N18" s="291">
        <f t="shared" si="10"/>
        <v>1806.9692067458152</v>
      </c>
      <c r="O18" s="293">
        <f t="shared" si="4"/>
        <v>0.18895960705396836</v>
      </c>
      <c r="P18" s="291">
        <f t="shared" si="11"/>
        <v>88541.491130544935</v>
      </c>
      <c r="Q18" s="341">
        <f t="shared" si="5"/>
        <v>10.730819930880433</v>
      </c>
      <c r="R18" s="422">
        <v>0</v>
      </c>
      <c r="S18" s="429">
        <f t="shared" si="0"/>
        <v>1806.9692067458152</v>
      </c>
      <c r="T18" s="293">
        <f t="shared" si="6"/>
        <v>0.18895960705396836</v>
      </c>
      <c r="Z18" s="146"/>
    </row>
    <row r="19" spans="1:26" s="88" customFormat="1" ht="21.95" thickBot="1" x14ac:dyDescent="0.45">
      <c r="A19" s="273" t="s">
        <v>183</v>
      </c>
      <c r="B19" s="295">
        <v>6.5</v>
      </c>
      <c r="C19" s="303">
        <f>C20+C23</f>
        <v>1443000</v>
      </c>
      <c r="D19" s="415">
        <f>C19/C10</f>
        <v>6.5</v>
      </c>
      <c r="E19" s="434">
        <f>H6*$E$10</f>
        <v>781.66232910558392</v>
      </c>
      <c r="F19" s="419">
        <f>(J19/(C19+E19))</f>
        <v>0.26723742571603099</v>
      </c>
      <c r="G19" s="282">
        <f t="shared" si="7"/>
        <v>0.73276257428396896</v>
      </c>
      <c r="H19" s="291">
        <f>H20+H23</f>
        <v>1057662.5260033933</v>
      </c>
      <c r="I19" s="293">
        <f t="shared" si="1"/>
        <v>5.1047329859705135</v>
      </c>
      <c r="J19" s="291">
        <f>J20+J23</f>
        <v>385832.49473684211</v>
      </c>
      <c r="K19" s="293">
        <f t="shared" si="2"/>
        <v>21.659109706310307</v>
      </c>
      <c r="L19" s="419">
        <f>(N19/J19)</f>
        <v>0.73945372285497113</v>
      </c>
      <c r="M19" s="282">
        <f t="shared" si="3"/>
        <v>0.26054627714502887</v>
      </c>
      <c r="N19" s="291">
        <f>N20+N23</f>
        <v>285305.27463157894</v>
      </c>
      <c r="O19" s="293">
        <f t="shared" si="4"/>
        <v>29.835136306443612</v>
      </c>
      <c r="P19" s="291">
        <f>P20+P23</f>
        <v>100527.22010526314</v>
      </c>
      <c r="Q19" s="341">
        <f t="shared" si="5"/>
        <v>12.183434944765908</v>
      </c>
      <c r="R19" s="422">
        <v>0</v>
      </c>
      <c r="S19" s="429">
        <f t="shared" si="0"/>
        <v>285305.27463157894</v>
      </c>
      <c r="T19" s="293">
        <f t="shared" si="6"/>
        <v>29.835136306443612</v>
      </c>
      <c r="Z19" s="146"/>
    </row>
    <row r="20" spans="1:26" s="88" customFormat="1" ht="21.95" thickBot="1" x14ac:dyDescent="0.45">
      <c r="A20" s="272" t="s">
        <v>184</v>
      </c>
      <c r="B20" s="265">
        <f>D22/0.95</f>
        <v>2.1052631578947367</v>
      </c>
      <c r="C20" s="303">
        <f>C21+C22</f>
        <v>467368.42105263157</v>
      </c>
      <c r="D20" s="416">
        <f>C20/C10</f>
        <v>2.1052631578947367</v>
      </c>
      <c r="E20" s="435">
        <f>E19*80%</f>
        <v>625.32986328446714</v>
      </c>
      <c r="F20" s="419">
        <f>(J20/(C20+E20))</f>
        <v>0.76148115301791697</v>
      </c>
      <c r="G20" s="282">
        <f t="shared" si="7"/>
        <v>0.23851884698208303</v>
      </c>
      <c r="H20" s="291">
        <f>H21+H22</f>
        <v>111346.03590030785</v>
      </c>
      <c r="I20" s="293">
        <f t="shared" si="1"/>
        <v>0.53740372599296848</v>
      </c>
      <c r="J20" s="291">
        <f>J21+J22</f>
        <v>356368.42105263157</v>
      </c>
      <c r="K20" s="293">
        <f t="shared" si="2"/>
        <v>20.005113184435213</v>
      </c>
      <c r="L20" s="419">
        <f>(N20/J20)</f>
        <v>0.79754098360655734</v>
      </c>
      <c r="M20" s="282">
        <f t="shared" si="3"/>
        <v>0.20245901639344266</v>
      </c>
      <c r="N20" s="291">
        <f>N21+N22</f>
        <v>284218.42105263157</v>
      </c>
      <c r="O20" s="293">
        <f t="shared" si="4"/>
        <v>29.721481118277485</v>
      </c>
      <c r="P20" s="291">
        <f>P21+P22</f>
        <v>72149.999999999985</v>
      </c>
      <c r="Q20" s="341">
        <f t="shared" si="5"/>
        <v>8.7442468850169455</v>
      </c>
      <c r="R20" s="422">
        <v>0</v>
      </c>
      <c r="S20" s="429">
        <f t="shared" si="0"/>
        <v>284218.42105263157</v>
      </c>
      <c r="T20" s="293">
        <f t="shared" si="6"/>
        <v>29.721481118277485</v>
      </c>
      <c r="Z20" s="146"/>
    </row>
    <row r="21" spans="1:26" s="88" customFormat="1" ht="21.95" thickBot="1" x14ac:dyDescent="0.45">
      <c r="A21" s="273" t="s">
        <v>185</v>
      </c>
      <c r="B21" s="263"/>
      <c r="C21" s="303">
        <f>D21*C10</f>
        <v>23368.421052631555</v>
      </c>
      <c r="D21" s="416">
        <f>B20-D22</f>
        <v>0.10526315789473673</v>
      </c>
      <c r="E21" s="435">
        <f>E20-E22</f>
        <v>294.62657020133548</v>
      </c>
      <c r="F21" s="420">
        <v>0.05</v>
      </c>
      <c r="G21" s="282">
        <f t="shared" si="7"/>
        <v>0.95</v>
      </c>
      <c r="H21" s="291">
        <f>($C21+$E21)*G21</f>
        <v>22479.895241691247</v>
      </c>
      <c r="I21" s="293">
        <f t="shared" si="1"/>
        <v>0.1084976161489291</v>
      </c>
      <c r="J21" s="291">
        <f>C21*F21</f>
        <v>1168.4210526315778</v>
      </c>
      <c r="K21" s="293">
        <f t="shared" si="2"/>
        <v>6.5590535030935065E-2</v>
      </c>
      <c r="L21" s="420">
        <v>0.05</v>
      </c>
      <c r="M21" s="282">
        <f t="shared" si="3"/>
        <v>0.95</v>
      </c>
      <c r="N21" s="291">
        <f t="shared" ref="N21:N22" si="12">($J21)*L21</f>
        <v>58.421052631578895</v>
      </c>
      <c r="O21" s="293">
        <f t="shared" si="4"/>
        <v>6.1092458619275355E-3</v>
      </c>
      <c r="P21" s="291">
        <f t="shared" ref="P21" si="13">($J21)*M21</f>
        <v>1109.9999999999989</v>
      </c>
      <c r="Q21" s="341">
        <f t="shared" si="5"/>
        <v>0.13452687515410675</v>
      </c>
      <c r="R21" s="422">
        <v>0</v>
      </c>
      <c r="S21" s="429">
        <f t="shared" si="0"/>
        <v>58.421052631578895</v>
      </c>
      <c r="T21" s="293">
        <f t="shared" si="6"/>
        <v>6.1092458619275355E-3</v>
      </c>
      <c r="Z21" s="146"/>
    </row>
    <row r="22" spans="1:26" s="88" customFormat="1" ht="21.95" thickBot="1" x14ac:dyDescent="0.45">
      <c r="A22" s="272" t="s">
        <v>186</v>
      </c>
      <c r="B22" s="295">
        <v>2</v>
      </c>
      <c r="C22" s="302">
        <f>D22*C10</f>
        <v>444000</v>
      </c>
      <c r="D22" s="415">
        <f>B22</f>
        <v>2</v>
      </c>
      <c r="E22" s="434">
        <f>H7*$E$10</f>
        <v>330.70329308313165</v>
      </c>
      <c r="F22" s="424">
        <v>0.8</v>
      </c>
      <c r="G22" s="282">
        <f t="shared" si="7"/>
        <v>0.19999999999999996</v>
      </c>
      <c r="H22" s="291">
        <f>($C22+$E22)*G22</f>
        <v>88866.140658616598</v>
      </c>
      <c r="I22" s="293">
        <f t="shared" si="1"/>
        <v>0.42890610984403937</v>
      </c>
      <c r="J22" s="291">
        <f>C22*F22</f>
        <v>355200</v>
      </c>
      <c r="K22" s="293">
        <f t="shared" si="2"/>
        <v>19.939522649404278</v>
      </c>
      <c r="L22" s="424">
        <v>0.8</v>
      </c>
      <c r="M22" s="282">
        <f t="shared" si="3"/>
        <v>0.19999999999999996</v>
      </c>
      <c r="N22" s="291">
        <f t="shared" si="12"/>
        <v>284160</v>
      </c>
      <c r="O22" s="293">
        <f t="shared" si="4"/>
        <v>29.71537187241556</v>
      </c>
      <c r="P22" s="291">
        <f>($J22)*M22</f>
        <v>71039.999999999985</v>
      </c>
      <c r="Q22" s="341">
        <f t="shared" si="5"/>
        <v>8.6097200098628388</v>
      </c>
      <c r="R22" s="422">
        <v>0</v>
      </c>
      <c r="S22" s="429">
        <f t="shared" si="0"/>
        <v>284160</v>
      </c>
      <c r="T22" s="293">
        <f t="shared" si="6"/>
        <v>29.71537187241556</v>
      </c>
      <c r="Z22" s="146"/>
    </row>
    <row r="23" spans="1:26" s="88" customFormat="1" ht="24.6" customHeight="1" thickBot="1" x14ac:dyDescent="0.45">
      <c r="A23" s="273" t="s">
        <v>187</v>
      </c>
      <c r="B23" s="265">
        <f>B19-B20</f>
        <v>4.3947368421052637</v>
      </c>
      <c r="C23" s="303">
        <f>C24+C25</f>
        <v>975631.57894736854</v>
      </c>
      <c r="D23" s="416">
        <f>C23/C10</f>
        <v>4.3947368421052637</v>
      </c>
      <c r="E23" s="435">
        <f>E19-E20</f>
        <v>156.33246582111678</v>
      </c>
      <c r="F23" s="419">
        <f>(J23/(C23+E23))</f>
        <v>3.0195161612054655E-2</v>
      </c>
      <c r="G23" s="282">
        <f t="shared" si="7"/>
        <v>0.9698048383879454</v>
      </c>
      <c r="H23" s="291">
        <f>H24+H25</f>
        <v>946316.49010308553</v>
      </c>
      <c r="I23" s="293">
        <f t="shared" si="1"/>
        <v>4.5673292599775452</v>
      </c>
      <c r="J23" s="291">
        <f>J24+J25</f>
        <v>29464.073684210533</v>
      </c>
      <c r="K23" s="293">
        <f t="shared" si="2"/>
        <v>1.6539965218750916</v>
      </c>
      <c r="L23" s="419">
        <f>(N23/J23)</f>
        <v>3.688741721854305E-2</v>
      </c>
      <c r="M23" s="282">
        <f t="shared" si="3"/>
        <v>0.96311258278145695</v>
      </c>
      <c r="N23" s="291">
        <f>N24+N25</f>
        <v>1086.8535789473688</v>
      </c>
      <c r="O23" s="293">
        <f t="shared" si="4"/>
        <v>0.11365518816612762</v>
      </c>
      <c r="P23" s="291">
        <f>P24+P25</f>
        <v>28377.220105263164</v>
      </c>
      <c r="Q23" s="341">
        <f t="shared" si="5"/>
        <v>3.4391880597489632</v>
      </c>
      <c r="R23" s="422">
        <v>0</v>
      </c>
      <c r="S23" s="429">
        <f t="shared" si="0"/>
        <v>1086.8535789473688</v>
      </c>
      <c r="T23" s="293">
        <f t="shared" si="6"/>
        <v>0.11365518816612762</v>
      </c>
      <c r="Z23" s="146"/>
    </row>
    <row r="24" spans="1:26" s="88" customFormat="1" ht="21.95" thickBot="1" x14ac:dyDescent="0.45">
      <c r="A24" s="272" t="s">
        <v>188</v>
      </c>
      <c r="B24" s="263"/>
      <c r="C24" s="302">
        <f>D24*C10</f>
        <v>331714.73684210534</v>
      </c>
      <c r="D24" s="417">
        <f>0.34*B23</f>
        <v>1.4942105263157899</v>
      </c>
      <c r="E24" s="435">
        <f>E23*90%</f>
        <v>140.69921923900512</v>
      </c>
      <c r="F24" s="420">
        <v>0.05</v>
      </c>
      <c r="G24" s="282">
        <f t="shared" si="7"/>
        <v>0.95</v>
      </c>
      <c r="H24" s="291">
        <f>($C24+$E24)*G24</f>
        <v>315262.6642582771</v>
      </c>
      <c r="I24" s="293">
        <f t="shared" si="1"/>
        <v>1.5215928350656258</v>
      </c>
      <c r="J24" s="291">
        <f>C24*F24</f>
        <v>16585.736842105267</v>
      </c>
      <c r="K24" s="293">
        <f t="shared" si="2"/>
        <v>0.93105764476412434</v>
      </c>
      <c r="L24" s="420">
        <v>0.05</v>
      </c>
      <c r="M24" s="282">
        <f t="shared" si="3"/>
        <v>0.95</v>
      </c>
      <c r="N24" s="291">
        <f t="shared" ref="N24" si="14">($J24)*L24</f>
        <v>829.28684210526342</v>
      </c>
      <c r="O24" s="293">
        <f t="shared" si="4"/>
        <v>8.6720745010061467E-2</v>
      </c>
      <c r="P24" s="291">
        <f t="shared" ref="P24:P25" si="15">($J24)*M24</f>
        <v>15756.450000000003</v>
      </c>
      <c r="Q24" s="341">
        <f t="shared" si="5"/>
        <v>1.9096089928125475</v>
      </c>
      <c r="R24" s="422">
        <v>0</v>
      </c>
      <c r="S24" s="429">
        <f t="shared" si="0"/>
        <v>829.28684210526342</v>
      </c>
      <c r="T24" s="293">
        <f t="shared" si="6"/>
        <v>8.6720745010061467E-2</v>
      </c>
      <c r="Z24" s="146"/>
    </row>
    <row r="25" spans="1:26" s="88" customFormat="1" ht="21.95" thickBot="1" x14ac:dyDescent="0.45">
      <c r="A25" s="273" t="s">
        <v>189</v>
      </c>
      <c r="B25" s="263"/>
      <c r="C25" s="302">
        <f>D25*C10</f>
        <v>643916.84210526326</v>
      </c>
      <c r="D25" s="417">
        <f>0.66*B23</f>
        <v>2.9005263157894743</v>
      </c>
      <c r="E25" s="435">
        <f>E23*10%</f>
        <v>15.63324658211168</v>
      </c>
      <c r="F25" s="420">
        <v>0.02</v>
      </c>
      <c r="G25" s="282">
        <f t="shared" si="7"/>
        <v>0.98</v>
      </c>
      <c r="H25" s="291">
        <f>($C25+$E25)*G25</f>
        <v>631053.82584480848</v>
      </c>
      <c r="I25" s="293">
        <f t="shared" si="1"/>
        <v>3.0457364249119201</v>
      </c>
      <c r="J25" s="291">
        <f>C25*F25</f>
        <v>12878.336842105266</v>
      </c>
      <c r="K25" s="293">
        <f t="shared" si="2"/>
        <v>0.72293887711096716</v>
      </c>
      <c r="L25" s="420">
        <v>0.02</v>
      </c>
      <c r="M25" s="282">
        <f t="shared" si="3"/>
        <v>0.98</v>
      </c>
      <c r="N25" s="291">
        <f>($J25)*L25</f>
        <v>257.56673684210534</v>
      </c>
      <c r="O25" s="293">
        <f t="shared" si="4"/>
        <v>2.6934443156066152E-2</v>
      </c>
      <c r="P25" s="291">
        <f t="shared" si="15"/>
        <v>12620.77010526316</v>
      </c>
      <c r="Q25" s="341">
        <f t="shared" si="5"/>
        <v>1.5295790669364158</v>
      </c>
      <c r="R25" s="422">
        <v>0</v>
      </c>
      <c r="S25" s="429">
        <f t="shared" si="0"/>
        <v>257.56673684210534</v>
      </c>
      <c r="T25" s="293">
        <f t="shared" si="6"/>
        <v>2.6934443156066152E-2</v>
      </c>
      <c r="Z25" s="146"/>
    </row>
    <row r="26" spans="1:26" s="88" customFormat="1" ht="21.95" thickBot="1" x14ac:dyDescent="0.45">
      <c r="A26" s="272" t="s">
        <v>190</v>
      </c>
      <c r="B26" s="295">
        <v>1.2</v>
      </c>
      <c r="C26" s="303">
        <f>C27+C30</f>
        <v>266400</v>
      </c>
      <c r="D26" s="415">
        <f>C26/C10</f>
        <v>1.2</v>
      </c>
      <c r="E26" s="434">
        <f>H8*$E$10</f>
        <v>420.89510028762214</v>
      </c>
      <c r="F26" s="419">
        <f>(J26/(C26+E26))</f>
        <v>4.203884445049621E-3</v>
      </c>
      <c r="G26" s="282">
        <f t="shared" si="7"/>
        <v>0.9957961155549504</v>
      </c>
      <c r="H26" s="291">
        <f>H27+H30</f>
        <v>265698.36909956072</v>
      </c>
      <c r="I26" s="293">
        <f t="shared" si="1"/>
        <v>1.2823742883150469</v>
      </c>
      <c r="J26" s="291">
        <f>J27+J30</f>
        <v>1121.6842105263158</v>
      </c>
      <c r="K26" s="293">
        <f t="shared" si="2"/>
        <v>6.2966913629697724E-2</v>
      </c>
      <c r="L26" s="419">
        <f>(N26/J26)</f>
        <v>0.02</v>
      </c>
      <c r="M26" s="282">
        <f t="shared" si="3"/>
        <v>0.98</v>
      </c>
      <c r="N26" s="291">
        <f>N27+N30</f>
        <v>22.433684210526316</v>
      </c>
      <c r="O26" s="293">
        <f t="shared" si="4"/>
        <v>2.3459504109801755E-3</v>
      </c>
      <c r="P26" s="291">
        <f>P27+P30</f>
        <v>1099.2505263157893</v>
      </c>
      <c r="Q26" s="341">
        <f t="shared" si="5"/>
        <v>0.13322408857366708</v>
      </c>
      <c r="R26" s="422">
        <v>0</v>
      </c>
      <c r="S26" s="429">
        <f t="shared" si="0"/>
        <v>22.433684210526316</v>
      </c>
      <c r="T26" s="293">
        <f t="shared" si="6"/>
        <v>2.3459504109801755E-3</v>
      </c>
      <c r="Z26" s="146"/>
    </row>
    <row r="27" spans="1:26" s="88" customFormat="1" ht="21.95" thickBot="1" x14ac:dyDescent="0.45">
      <c r="A27" s="273" t="s">
        <v>191</v>
      </c>
      <c r="B27" s="384">
        <f>B29/0.19</f>
        <v>0.78947368421052633</v>
      </c>
      <c r="C27" s="303">
        <f>C28+C29</f>
        <v>175263.15789473683</v>
      </c>
      <c r="D27" s="416">
        <f>C27/C10</f>
        <v>0.78947368421052622</v>
      </c>
      <c r="E27" s="435">
        <f>E26*80%</f>
        <v>336.71608023009776</v>
      </c>
      <c r="F27" s="419">
        <f>(J27/(C27+E27))</f>
        <v>3.7927134281140955E-3</v>
      </c>
      <c r="G27" s="282">
        <f t="shared" si="7"/>
        <v>0.99620728657188595</v>
      </c>
      <c r="H27" s="291">
        <f>H28+H29</f>
        <v>174933.20054280647</v>
      </c>
      <c r="I27" s="293">
        <f t="shared" si="1"/>
        <v>0.84430265533431048</v>
      </c>
      <c r="J27" s="291">
        <f>J28+J29</f>
        <v>666</v>
      </c>
      <c r="K27" s="293">
        <f t="shared" si="2"/>
        <v>3.7386604967633026E-2</v>
      </c>
      <c r="L27" s="419">
        <f>(N27/J27)</f>
        <v>0.02</v>
      </c>
      <c r="M27" s="282">
        <f t="shared" si="3"/>
        <v>0.98</v>
      </c>
      <c r="N27" s="291">
        <f>N28+N29</f>
        <v>13.32</v>
      </c>
      <c r="O27" s="293">
        <f t="shared" si="4"/>
        <v>1.3929080565194794E-3</v>
      </c>
      <c r="P27" s="291">
        <f>P28+P29</f>
        <v>652.67999999999995</v>
      </c>
      <c r="Q27" s="341">
        <f t="shared" si="5"/>
        <v>7.9101802590614834E-2</v>
      </c>
      <c r="R27" s="422">
        <v>0</v>
      </c>
      <c r="S27" s="429">
        <f t="shared" si="0"/>
        <v>13.32</v>
      </c>
      <c r="T27" s="293">
        <f t="shared" si="6"/>
        <v>1.3929080565194794E-3</v>
      </c>
      <c r="Z27" s="146"/>
    </row>
    <row r="28" spans="1:26" s="88" customFormat="1" ht="21.95" thickBot="1" x14ac:dyDescent="0.45">
      <c r="A28" s="272" t="s">
        <v>192</v>
      </c>
      <c r="B28" s="385">
        <f>B27-B29</f>
        <v>0.63947368421052631</v>
      </c>
      <c r="C28" s="303">
        <f>D28*C10</f>
        <v>141963.15789473683</v>
      </c>
      <c r="D28" s="416">
        <f>B28</f>
        <v>0.63947368421052631</v>
      </c>
      <c r="E28" s="435">
        <f>E27*90%</f>
        <v>303.04447220708801</v>
      </c>
      <c r="F28" s="420">
        <v>0</v>
      </c>
      <c r="G28" s="282">
        <f t="shared" si="7"/>
        <v>1</v>
      </c>
      <c r="H28" s="291">
        <f>($C28+$E28)*G28</f>
        <v>142266.20236694391</v>
      </c>
      <c r="I28" s="293">
        <f t="shared" si="1"/>
        <v>0.68663771113789562</v>
      </c>
      <c r="J28" s="291">
        <f>C28*F28</f>
        <v>0</v>
      </c>
      <c r="K28" s="293">
        <f t="shared" si="2"/>
        <v>0</v>
      </c>
      <c r="L28" s="420">
        <v>0</v>
      </c>
      <c r="M28" s="282">
        <f t="shared" si="3"/>
        <v>1</v>
      </c>
      <c r="N28" s="291">
        <f t="shared" ref="N28:N32" si="16">($J28)*L28</f>
        <v>0</v>
      </c>
      <c r="O28" s="293">
        <f t="shared" si="4"/>
        <v>0</v>
      </c>
      <c r="P28" s="291">
        <f t="shared" ref="P28:P29" si="17">($J28)*M28</f>
        <v>0</v>
      </c>
      <c r="Q28" s="341">
        <f t="shared" si="5"/>
        <v>0</v>
      </c>
      <c r="R28" s="422">
        <v>0</v>
      </c>
      <c r="S28" s="429">
        <f t="shared" si="0"/>
        <v>0</v>
      </c>
      <c r="T28" s="293">
        <f t="shared" si="6"/>
        <v>0</v>
      </c>
      <c r="Z28" s="146"/>
    </row>
    <row r="29" spans="1:26" s="88" customFormat="1" ht="21.95" thickBot="1" x14ac:dyDescent="0.45">
      <c r="A29" s="273" t="s">
        <v>193</v>
      </c>
      <c r="B29" s="385">
        <v>0.15</v>
      </c>
      <c r="C29" s="302">
        <f>D29*C10</f>
        <v>33300</v>
      </c>
      <c r="D29" s="417">
        <f>B29</f>
        <v>0.15</v>
      </c>
      <c r="E29" s="435">
        <f>E27*10%</f>
        <v>33.671608023009775</v>
      </c>
      <c r="F29" s="420">
        <v>0.02</v>
      </c>
      <c r="G29" s="282">
        <f t="shared" si="7"/>
        <v>0.98</v>
      </c>
      <c r="H29" s="291">
        <f>($C29+$E29)*G29</f>
        <v>32666.998175862551</v>
      </c>
      <c r="I29" s="294">
        <f t="shared" si="1"/>
        <v>0.15766494419641483</v>
      </c>
      <c r="J29" s="291">
        <f>C29*F29</f>
        <v>666</v>
      </c>
      <c r="K29" s="294">
        <f t="shared" si="2"/>
        <v>3.7386604967633026E-2</v>
      </c>
      <c r="L29" s="420">
        <v>0.02</v>
      </c>
      <c r="M29" s="282">
        <f t="shared" si="3"/>
        <v>0.98</v>
      </c>
      <c r="N29" s="291">
        <f t="shared" si="16"/>
        <v>13.32</v>
      </c>
      <c r="O29" s="294">
        <f t="shared" si="4"/>
        <v>1.3929080565194794E-3</v>
      </c>
      <c r="P29" s="291">
        <f t="shared" si="17"/>
        <v>652.67999999999995</v>
      </c>
      <c r="Q29" s="428">
        <f t="shared" si="5"/>
        <v>7.9101802590614834E-2</v>
      </c>
      <c r="R29" s="422">
        <v>0</v>
      </c>
      <c r="S29" s="429">
        <f t="shared" si="0"/>
        <v>13.32</v>
      </c>
      <c r="T29" s="294">
        <f t="shared" si="6"/>
        <v>1.3929080565194794E-3</v>
      </c>
      <c r="Z29" s="146"/>
    </row>
    <row r="30" spans="1:26" s="88" customFormat="1" ht="21.95" thickBot="1" x14ac:dyDescent="0.45">
      <c r="A30" s="272" t="s">
        <v>194</v>
      </c>
      <c r="B30" s="385">
        <f>B26-B27</f>
        <v>0.41052631578947363</v>
      </c>
      <c r="C30" s="303">
        <f>C31+C32</f>
        <v>91136.842105263146</v>
      </c>
      <c r="D30" s="416">
        <f>C30/C10</f>
        <v>0.41052631578947363</v>
      </c>
      <c r="E30" s="435">
        <f>E26-E27</f>
        <v>84.179020057524383</v>
      </c>
      <c r="F30" s="419">
        <f>(J30/(C30+E30))</f>
        <v>4.995385985652261E-3</v>
      </c>
      <c r="G30" s="282">
        <f t="shared" si="7"/>
        <v>0.9950046140143477</v>
      </c>
      <c r="H30" s="291">
        <f>H31+H32</f>
        <v>90765.168556754244</v>
      </c>
      <c r="I30" s="293">
        <f t="shared" si="1"/>
        <v>0.43807163298073637</v>
      </c>
      <c r="J30" s="291">
        <f>J31+J32</f>
        <v>455.68421052631572</v>
      </c>
      <c r="K30" s="293">
        <f t="shared" si="2"/>
        <v>2.5580308662064698E-2</v>
      </c>
      <c r="L30" s="419">
        <f>(N30/J30)</f>
        <v>1.9999999999999997E-2</v>
      </c>
      <c r="M30" s="282">
        <f t="shared" si="3"/>
        <v>0.98</v>
      </c>
      <c r="N30" s="291">
        <f>N31+N32</f>
        <v>9.1136842105263138</v>
      </c>
      <c r="O30" s="293">
        <f t="shared" si="4"/>
        <v>9.5304235446069623E-4</v>
      </c>
      <c r="P30" s="291">
        <f>P31+P32</f>
        <v>446.57052631578938</v>
      </c>
      <c r="Q30" s="341">
        <f t="shared" si="5"/>
        <v>5.412228598305225E-2</v>
      </c>
      <c r="R30" s="422">
        <v>0</v>
      </c>
      <c r="S30" s="429">
        <f t="shared" si="0"/>
        <v>9.1136842105263138</v>
      </c>
      <c r="T30" s="293">
        <f t="shared" si="6"/>
        <v>9.5304235446069623E-4</v>
      </c>
      <c r="Z30" s="146"/>
    </row>
    <row r="31" spans="1:26" s="88" customFormat="1" ht="21.95" thickBot="1" x14ac:dyDescent="0.45">
      <c r="A31" s="273" t="s">
        <v>195</v>
      </c>
      <c r="B31" s="385">
        <f>B30*0.75</f>
        <v>0.30789473684210522</v>
      </c>
      <c r="C31" s="302">
        <f>D31*C10</f>
        <v>68352.631578947359</v>
      </c>
      <c r="D31" s="417">
        <f>B31</f>
        <v>0.30789473684210522</v>
      </c>
      <c r="E31" s="435">
        <f>E30*90%</f>
        <v>75.761118051771945</v>
      </c>
      <c r="F31" s="420">
        <v>0</v>
      </c>
      <c r="G31" s="282">
        <f t="shared" si="7"/>
        <v>1</v>
      </c>
      <c r="H31" s="291">
        <f>($C31+$E31)*G31</f>
        <v>68428.39269699913</v>
      </c>
      <c r="I31" s="293">
        <f t="shared" si="1"/>
        <v>0.33026477235347806</v>
      </c>
      <c r="J31" s="291">
        <f>C31*F31</f>
        <v>0</v>
      </c>
      <c r="K31" s="293">
        <f t="shared" si="2"/>
        <v>0</v>
      </c>
      <c r="L31" s="420">
        <v>0</v>
      </c>
      <c r="M31" s="282">
        <f t="shared" si="3"/>
        <v>1</v>
      </c>
      <c r="N31" s="291">
        <f t="shared" si="16"/>
        <v>0</v>
      </c>
      <c r="O31" s="293">
        <f t="shared" si="4"/>
        <v>0</v>
      </c>
      <c r="P31" s="291">
        <f t="shared" ref="P31:P32" si="18">($J31)*M31</f>
        <v>0</v>
      </c>
      <c r="Q31" s="341">
        <f t="shared" si="5"/>
        <v>0</v>
      </c>
      <c r="R31" s="422">
        <v>0</v>
      </c>
      <c r="S31" s="429">
        <f t="shared" si="0"/>
        <v>0</v>
      </c>
      <c r="T31" s="293">
        <f t="shared" si="6"/>
        <v>0</v>
      </c>
      <c r="Z31" s="146"/>
    </row>
    <row r="32" spans="1:26" s="88" customFormat="1" ht="21.95" thickBot="1" x14ac:dyDescent="0.45">
      <c r="A32" s="272" t="s">
        <v>196</v>
      </c>
      <c r="B32" s="385">
        <f>B30*0.25</f>
        <v>0.10263157894736841</v>
      </c>
      <c r="C32" s="302">
        <f>D32*C10</f>
        <v>22784.210526315786</v>
      </c>
      <c r="D32" s="417">
        <f>B32</f>
        <v>0.10263157894736841</v>
      </c>
      <c r="E32" s="435">
        <f>E30*10%</f>
        <v>8.4179020057524383</v>
      </c>
      <c r="F32" s="420">
        <v>0.02</v>
      </c>
      <c r="G32" s="282">
        <f t="shared" si="7"/>
        <v>0.98</v>
      </c>
      <c r="H32" s="291">
        <f>($C32+$E32)*G32</f>
        <v>22336.775859755107</v>
      </c>
      <c r="I32" s="293">
        <f t="shared" si="1"/>
        <v>0.10780686062725829</v>
      </c>
      <c r="J32" s="291">
        <f>C32*F32</f>
        <v>455.68421052631572</v>
      </c>
      <c r="K32" s="293">
        <f t="shared" si="2"/>
        <v>2.5580308662064698E-2</v>
      </c>
      <c r="L32" s="420">
        <v>0.02</v>
      </c>
      <c r="M32" s="282">
        <f t="shared" si="3"/>
        <v>0.98</v>
      </c>
      <c r="N32" s="291">
        <f t="shared" si="16"/>
        <v>9.1136842105263138</v>
      </c>
      <c r="O32" s="293">
        <f t="shared" si="4"/>
        <v>9.5304235446069623E-4</v>
      </c>
      <c r="P32" s="291">
        <f t="shared" si="18"/>
        <v>446.57052631578938</v>
      </c>
      <c r="Q32" s="341">
        <f t="shared" si="5"/>
        <v>5.412228598305225E-2</v>
      </c>
      <c r="R32" s="422">
        <v>0</v>
      </c>
      <c r="S32" s="429">
        <f t="shared" si="0"/>
        <v>9.1136842105263138</v>
      </c>
      <c r="T32" s="293">
        <f t="shared" si="6"/>
        <v>9.5304235446069623E-4</v>
      </c>
      <c r="Z32" s="146"/>
    </row>
    <row r="33" spans="1:20" s="88" customFormat="1" ht="21.3" thickBot="1" x14ac:dyDescent="0.4">
      <c r="A33" s="273" t="s">
        <v>197</v>
      </c>
      <c r="B33" s="295">
        <v>5.5</v>
      </c>
      <c r="C33" s="303">
        <f>C34</f>
        <v>1221000</v>
      </c>
      <c r="D33" s="415">
        <f>C33/C10</f>
        <v>5.5</v>
      </c>
      <c r="E33" s="434">
        <f>H9*$E$10</f>
        <v>571.21477896177294</v>
      </c>
      <c r="F33" s="419">
        <f>(J33/(C33+E33))</f>
        <v>4.2979892915617039E-3</v>
      </c>
      <c r="G33" s="282">
        <f t="shared" si="7"/>
        <v>0.99570201070843833</v>
      </c>
      <c r="H33" s="291">
        <f>H34</f>
        <v>1216320.6291715722</v>
      </c>
      <c r="I33" s="293">
        <f t="shared" si="1"/>
        <v>5.8704850409237368</v>
      </c>
      <c r="J33" s="291">
        <f>J34</f>
        <v>5250.3</v>
      </c>
      <c r="K33" s="293">
        <f t="shared" si="2"/>
        <v>0.29473106916150704</v>
      </c>
      <c r="L33" s="419">
        <f>(N33/J33)</f>
        <v>5.0000000000000001E-3</v>
      </c>
      <c r="M33" s="282">
        <f t="shared" si="3"/>
        <v>0.995</v>
      </c>
      <c r="N33" s="291">
        <f>N34</f>
        <v>26.2515</v>
      </c>
      <c r="O33" s="293">
        <f t="shared" si="4"/>
        <v>2.7451896280571405E-3</v>
      </c>
      <c r="P33" s="291">
        <f>P34</f>
        <v>5224.0484999999999</v>
      </c>
      <c r="Q33" s="341">
        <f t="shared" si="5"/>
        <v>0.63313055888153091</v>
      </c>
      <c r="R33" s="422">
        <v>0</v>
      </c>
      <c r="S33" s="429">
        <f t="shared" si="0"/>
        <v>26.2515</v>
      </c>
      <c r="T33" s="293">
        <f t="shared" si="6"/>
        <v>2.7451896280571405E-3</v>
      </c>
    </row>
    <row r="34" spans="1:20" s="88" customFormat="1" ht="17.55" thickBot="1" x14ac:dyDescent="0.3">
      <c r="A34" s="272" t="s">
        <v>198</v>
      </c>
      <c r="B34" s="263"/>
      <c r="C34" s="303">
        <f>C35+C36</f>
        <v>1221000</v>
      </c>
      <c r="D34" s="416">
        <f>C34/C10</f>
        <v>5.5</v>
      </c>
      <c r="E34" s="435">
        <f>E35+E36</f>
        <v>571.21477896177305</v>
      </c>
      <c r="F34" s="419">
        <f>(J34/(C34+E34))</f>
        <v>4.2979892915617039E-3</v>
      </c>
      <c r="G34" s="282">
        <f t="shared" si="7"/>
        <v>0.99570201070843833</v>
      </c>
      <c r="H34" s="291">
        <f>H35+H36</f>
        <v>1216320.6291715722</v>
      </c>
      <c r="I34" s="293">
        <f t="shared" si="1"/>
        <v>5.8704850409237368</v>
      </c>
      <c r="J34" s="291">
        <f>J35+J36</f>
        <v>5250.3</v>
      </c>
      <c r="K34" s="293">
        <f t="shared" si="2"/>
        <v>0.29473106916150704</v>
      </c>
      <c r="L34" s="419">
        <f>(N34/J34)</f>
        <v>5.0000000000000001E-3</v>
      </c>
      <c r="M34" s="282">
        <f t="shared" si="3"/>
        <v>0.995</v>
      </c>
      <c r="N34" s="291">
        <f>N35+N36</f>
        <v>26.2515</v>
      </c>
      <c r="O34" s="293">
        <f t="shared" si="4"/>
        <v>2.7451896280571405E-3</v>
      </c>
      <c r="P34" s="291">
        <f>P35+P36</f>
        <v>5224.0484999999999</v>
      </c>
      <c r="Q34" s="341">
        <f t="shared" si="5"/>
        <v>0.63313055888153091</v>
      </c>
      <c r="R34" s="422">
        <v>0</v>
      </c>
      <c r="S34" s="429">
        <f t="shared" si="0"/>
        <v>26.2515</v>
      </c>
      <c r="T34" s="293">
        <f t="shared" si="6"/>
        <v>2.7451896280571405E-3</v>
      </c>
    </row>
    <row r="35" spans="1:20" s="88" customFormat="1" ht="17.55" thickBot="1" x14ac:dyDescent="0.3">
      <c r="A35" s="273" t="s">
        <v>199</v>
      </c>
      <c r="B35" s="100"/>
      <c r="C35" s="303">
        <f>D35*C10</f>
        <v>170940</v>
      </c>
      <c r="D35" s="416">
        <f>0.14*B33</f>
        <v>0.77</v>
      </c>
      <c r="E35" s="435">
        <f>E33*90%</f>
        <v>514.09330106559571</v>
      </c>
      <c r="F35" s="420">
        <v>0</v>
      </c>
      <c r="G35" s="282">
        <f t="shared" si="7"/>
        <v>1</v>
      </c>
      <c r="H35" s="291">
        <f>($C35+$E35)*G35</f>
        <v>171454.09330106559</v>
      </c>
      <c r="I35" s="293">
        <f t="shared" si="1"/>
        <v>0.82751099158334707</v>
      </c>
      <c r="J35" s="291">
        <f>C35*F35</f>
        <v>0</v>
      </c>
      <c r="K35" s="293">
        <f t="shared" si="2"/>
        <v>0</v>
      </c>
      <c r="L35" s="420">
        <v>0</v>
      </c>
      <c r="M35" s="282">
        <f t="shared" si="3"/>
        <v>1</v>
      </c>
      <c r="N35" s="291">
        <f t="shared" ref="N35:N36" si="19">($J35)*L35</f>
        <v>0</v>
      </c>
      <c r="O35" s="293">
        <f t="shared" si="4"/>
        <v>0</v>
      </c>
      <c r="P35" s="291">
        <f t="shared" ref="P35:P36" si="20">($J35)*M35</f>
        <v>0</v>
      </c>
      <c r="Q35" s="341">
        <f t="shared" si="5"/>
        <v>0</v>
      </c>
      <c r="R35" s="422">
        <v>0</v>
      </c>
      <c r="S35" s="429">
        <f t="shared" si="0"/>
        <v>0</v>
      </c>
      <c r="T35" s="293">
        <f t="shared" si="6"/>
        <v>0</v>
      </c>
    </row>
    <row r="36" spans="1:20" s="88" customFormat="1" ht="17.55" thickBot="1" x14ac:dyDescent="0.3">
      <c r="A36" s="272" t="s">
        <v>200</v>
      </c>
      <c r="B36" s="100"/>
      <c r="C36" s="302">
        <f>D36*C10</f>
        <v>1050060</v>
      </c>
      <c r="D36" s="417">
        <f>0.86*B33</f>
        <v>4.7299999999999995</v>
      </c>
      <c r="E36" s="436">
        <f>E33*10%</f>
        <v>57.121477896177296</v>
      </c>
      <c r="F36" s="420">
        <v>5.0000000000000001E-3</v>
      </c>
      <c r="G36" s="282">
        <f t="shared" si="7"/>
        <v>0.995</v>
      </c>
      <c r="H36" s="291">
        <f>($C36+$E36)*G36</f>
        <v>1044866.5358705067</v>
      </c>
      <c r="I36" s="293">
        <f t="shared" si="1"/>
        <v>5.0429740493403905</v>
      </c>
      <c r="J36" s="291">
        <f>C36*F36</f>
        <v>5250.3</v>
      </c>
      <c r="K36" s="293">
        <f t="shared" si="2"/>
        <v>0.29473106916150704</v>
      </c>
      <c r="L36" s="420">
        <v>5.0000000000000001E-3</v>
      </c>
      <c r="M36" s="282">
        <f t="shared" si="3"/>
        <v>0.995</v>
      </c>
      <c r="N36" s="291">
        <f t="shared" si="19"/>
        <v>26.2515</v>
      </c>
      <c r="O36" s="293">
        <f t="shared" si="4"/>
        <v>2.7451896280571405E-3</v>
      </c>
      <c r="P36" s="291">
        <f t="shared" si="20"/>
        <v>5224.0484999999999</v>
      </c>
      <c r="Q36" s="341">
        <f t="shared" si="5"/>
        <v>0.63313055888153091</v>
      </c>
      <c r="R36" s="423">
        <v>0</v>
      </c>
      <c r="S36" s="429">
        <f t="shared" si="0"/>
        <v>26.2515</v>
      </c>
      <c r="T36" s="293">
        <f>S36/$S$10</f>
        <v>2.7451896280571405E-3</v>
      </c>
    </row>
    <row r="37" spans="1:20" s="88" customFormat="1" ht="31" customHeight="1" x14ac:dyDescent="0.25"/>
    <row r="38" spans="1:20" s="88" customFormat="1" x14ac:dyDescent="0.25"/>
    <row r="39" spans="1:20" s="88" customFormat="1" x14ac:dyDescent="0.25"/>
  </sheetData>
  <mergeCells count="9">
    <mergeCell ref="S1:T1"/>
    <mergeCell ref="L1:M1"/>
    <mergeCell ref="N1:O1"/>
    <mergeCell ref="P1:Q1"/>
    <mergeCell ref="C1:D1"/>
    <mergeCell ref="F1:G1"/>
    <mergeCell ref="H1:I1"/>
    <mergeCell ref="J1:K1"/>
    <mergeCell ref="E4:F4"/>
  </mergeCell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BF716-0013-4770-A5A2-3C6212B1F00D}">
  <dimension ref="A1:AK40"/>
  <sheetViews>
    <sheetView zoomScale="60" zoomScaleNormal="60" workbookViewId="0">
      <pane xSplit="1" ySplit="3" topLeftCell="B9" activePane="bottomRight" state="frozen"/>
      <selection pane="topRight" activeCell="B1" sqref="B1"/>
      <selection pane="bottomLeft" activeCell="A4" sqref="A4"/>
      <selection pane="bottomRight" activeCell="L10" sqref="L10:M36"/>
    </sheetView>
  </sheetViews>
  <sheetFormatPr defaultColWidth="10.796875" defaultRowHeight="14.4" x14ac:dyDescent="0.25"/>
  <cols>
    <col min="1" max="1" width="33.5" style="93" customWidth="1"/>
    <col min="2" max="2" width="33" style="161" customWidth="1"/>
    <col min="3" max="3" width="13.296875" style="161" bestFit="1" customWidth="1"/>
    <col min="4" max="4" width="23.296875" style="161" customWidth="1"/>
    <col min="5" max="5" width="17.3984375" style="161" customWidth="1"/>
    <col min="6" max="6" width="11.09765625" style="329" customWidth="1"/>
    <col min="7" max="7" width="11.69921875" style="161" customWidth="1"/>
    <col min="8" max="8" width="26.09765625" style="161" customWidth="1"/>
    <col min="9" max="9" width="24.19921875" style="245" customWidth="1"/>
    <col min="10" max="10" width="24.19921875" style="161" customWidth="1"/>
    <col min="11" max="11" width="24.5" style="161" customWidth="1"/>
    <col min="12" max="12" width="14" style="161" customWidth="1"/>
    <col min="13" max="13" width="21" style="161" customWidth="1"/>
    <col min="14" max="14" width="17.19921875" style="161" customWidth="1"/>
    <col min="15" max="15" width="24.5" style="161" customWidth="1"/>
    <col min="16" max="16" width="29" style="164" customWidth="1"/>
    <col min="17" max="17" width="24.5" style="164" customWidth="1"/>
    <col min="18" max="18" width="14" style="164" customWidth="1"/>
    <col min="19" max="19" width="21.5" style="164" customWidth="1"/>
    <col min="20" max="20" width="17.19921875" style="164" customWidth="1"/>
    <col min="21" max="21" width="23.5" style="164" customWidth="1"/>
    <col min="22" max="22" width="28.5" style="164" customWidth="1"/>
    <col min="23" max="23" width="28.3984375" style="164" customWidth="1"/>
    <col min="24" max="24" width="24.5" style="164" customWidth="1"/>
    <col min="25" max="25" width="14" style="164" customWidth="1"/>
    <col min="26" max="26" width="21" style="164" customWidth="1"/>
    <col min="27" max="27" width="17.19921875" style="164" customWidth="1"/>
    <col min="28" max="28" width="22.19921875" style="164" customWidth="1"/>
    <col min="29" max="29" width="24.19921875" style="192" customWidth="1"/>
    <col min="30" max="30" width="24.5" style="192" customWidth="1"/>
    <col min="31" max="31" width="14" style="192" customWidth="1"/>
    <col min="32" max="32" width="21.796875" style="192" customWidth="1"/>
    <col min="33" max="33" width="17.19921875" style="192" customWidth="1"/>
    <col min="34" max="34" width="26.5" style="192" customWidth="1"/>
    <col min="35" max="35" width="16" style="192" customWidth="1"/>
    <col min="37" max="16384" width="10.796875" style="161"/>
  </cols>
  <sheetData>
    <row r="1" spans="1:35" s="329" customFormat="1" ht="28.2" customHeight="1" thickBot="1" x14ac:dyDescent="0.5">
      <c r="A1" s="271"/>
      <c r="B1" s="295" t="s">
        <v>359</v>
      </c>
      <c r="C1" s="496" t="s">
        <v>363</v>
      </c>
      <c r="D1" s="497"/>
      <c r="E1" s="279"/>
      <c r="F1" s="279"/>
      <c r="H1" s="506" t="s">
        <v>440</v>
      </c>
      <c r="I1" s="509"/>
      <c r="J1" s="498" t="s">
        <v>62</v>
      </c>
      <c r="K1" s="499"/>
      <c r="L1" s="506" t="s">
        <v>447</v>
      </c>
      <c r="M1" s="509"/>
      <c r="N1" s="506" t="s">
        <v>168</v>
      </c>
      <c r="O1" s="509"/>
      <c r="P1" s="498" t="s">
        <v>309</v>
      </c>
      <c r="Q1" s="499"/>
      <c r="R1" s="506" t="s">
        <v>65</v>
      </c>
      <c r="S1" s="509"/>
      <c r="T1" s="506" t="s">
        <v>168</v>
      </c>
      <c r="U1" s="509"/>
      <c r="V1" s="513" t="s">
        <v>364</v>
      </c>
      <c r="W1" s="498" t="s">
        <v>310</v>
      </c>
      <c r="X1" s="499"/>
      <c r="Y1" s="506" t="s">
        <v>66</v>
      </c>
      <c r="Z1" s="509"/>
      <c r="AA1" s="506" t="s">
        <v>168</v>
      </c>
      <c r="AB1" s="509"/>
      <c r="AC1" s="498" t="s">
        <v>326</v>
      </c>
      <c r="AD1" s="499"/>
      <c r="AE1" s="506" t="s">
        <v>327</v>
      </c>
      <c r="AF1" s="509"/>
      <c r="AG1" s="510" t="s">
        <v>328</v>
      </c>
      <c r="AH1" s="509"/>
    </row>
    <row r="2" spans="1:35" s="329" customFormat="1" ht="50.75" x14ac:dyDescent="0.25">
      <c r="A2" s="383"/>
      <c r="B2" s="332" t="s">
        <v>439</v>
      </c>
      <c r="C2" s="333" t="s">
        <v>171</v>
      </c>
      <c r="D2" s="334" t="s">
        <v>360</v>
      </c>
      <c r="E2" s="518" t="s">
        <v>364</v>
      </c>
      <c r="F2" s="513"/>
      <c r="G2" s="513"/>
      <c r="H2" s="337" t="s">
        <v>1</v>
      </c>
      <c r="I2" s="338" t="s">
        <v>113</v>
      </c>
      <c r="J2" s="366" t="s">
        <v>448</v>
      </c>
      <c r="K2" s="366" t="s">
        <v>444</v>
      </c>
      <c r="L2" s="337" t="s">
        <v>1</v>
      </c>
      <c r="M2" s="338" t="s">
        <v>113</v>
      </c>
      <c r="N2" s="337" t="s">
        <v>1</v>
      </c>
      <c r="O2" s="338" t="s">
        <v>113</v>
      </c>
      <c r="P2" s="366" t="s">
        <v>449</v>
      </c>
      <c r="Q2" s="366" t="s">
        <v>444</v>
      </c>
      <c r="R2" s="337" t="s">
        <v>1</v>
      </c>
      <c r="S2" s="338" t="s">
        <v>113</v>
      </c>
      <c r="T2" s="337" t="s">
        <v>1</v>
      </c>
      <c r="U2" s="338" t="s">
        <v>113</v>
      </c>
      <c r="V2" s="513"/>
      <c r="W2" s="366" t="s">
        <v>450</v>
      </c>
      <c r="X2" s="366" t="s">
        <v>444</v>
      </c>
      <c r="Y2" s="337" t="s">
        <v>1</v>
      </c>
      <c r="Z2" s="338" t="s">
        <v>113</v>
      </c>
      <c r="AA2" s="337" t="s">
        <v>1</v>
      </c>
      <c r="AB2" s="338" t="s">
        <v>113</v>
      </c>
      <c r="AC2" s="366" t="s">
        <v>452</v>
      </c>
      <c r="AD2" s="366" t="s">
        <v>453</v>
      </c>
      <c r="AE2" s="337" t="s">
        <v>1</v>
      </c>
      <c r="AF2" s="338" t="s">
        <v>113</v>
      </c>
      <c r="AG2" s="337" t="s">
        <v>1</v>
      </c>
      <c r="AH2" s="338" t="s">
        <v>113</v>
      </c>
    </row>
    <row r="3" spans="1:35" s="329" customFormat="1" ht="21.3" thickBot="1" x14ac:dyDescent="0.3">
      <c r="A3" s="383"/>
      <c r="C3" s="322"/>
      <c r="D3" s="276" t="s">
        <v>130</v>
      </c>
      <c r="I3" s="276" t="s">
        <v>130</v>
      </c>
      <c r="M3" s="276" t="s">
        <v>130</v>
      </c>
      <c r="O3" s="276" t="s">
        <v>130</v>
      </c>
      <c r="S3" s="276" t="s">
        <v>130</v>
      </c>
      <c r="U3" s="276" t="s">
        <v>130</v>
      </c>
      <c r="Z3" s="276" t="s">
        <v>130</v>
      </c>
      <c r="AB3" s="276" t="s">
        <v>130</v>
      </c>
      <c r="AF3" s="276" t="s">
        <v>130</v>
      </c>
      <c r="AH3" s="276" t="s">
        <v>130</v>
      </c>
    </row>
    <row r="4" spans="1:35" ht="17.55" x14ac:dyDescent="0.3">
      <c r="E4" s="494" t="s">
        <v>68</v>
      </c>
      <c r="F4" s="495"/>
      <c r="G4" s="494" t="str">
        <f>CONCATENATE(G5,"% H2SO4 solution")</f>
        <v>96% H2SO4 solution</v>
      </c>
      <c r="H4" s="495"/>
      <c r="I4" s="88"/>
      <c r="J4" s="88"/>
      <c r="K4" s="101"/>
      <c r="L4" s="329"/>
      <c r="M4" s="329"/>
      <c r="N4" s="329"/>
      <c r="P4" s="88"/>
      <c r="Q4" s="101"/>
      <c r="V4" s="494" t="str">
        <f>CONCATENATE(V5,"% Ca(OH)2 solution to pH 8")</f>
        <v>45% Ca(OH)2 solution to pH 8</v>
      </c>
      <c r="W4" s="495"/>
      <c r="X4" s="101"/>
      <c r="AC4" s="88"/>
      <c r="AD4" s="101"/>
    </row>
    <row r="5" spans="1:35" ht="18.5" customHeight="1" x14ac:dyDescent="0.35">
      <c r="C5" s="144"/>
      <c r="D5" s="88"/>
      <c r="E5" s="307">
        <v>1</v>
      </c>
      <c r="F5" s="445">
        <v>4</v>
      </c>
      <c r="G5" s="440">
        <v>96</v>
      </c>
      <c r="H5" s="308" t="s">
        <v>14</v>
      </c>
      <c r="I5" s="88"/>
      <c r="J5" s="153"/>
      <c r="K5" s="101"/>
      <c r="P5" s="153"/>
      <c r="Q5" s="101"/>
      <c r="V5" s="305">
        <v>45</v>
      </c>
      <c r="W5" s="308" t="s">
        <v>14</v>
      </c>
      <c r="X5" s="101"/>
      <c r="AC5" s="88"/>
      <c r="AD5" s="101"/>
    </row>
    <row r="6" spans="1:35" s="88" customFormat="1" ht="17.55" x14ac:dyDescent="0.3">
      <c r="A6" s="93"/>
      <c r="E6" s="511" t="s">
        <v>442</v>
      </c>
      <c r="F6" s="512"/>
      <c r="G6" s="441">
        <f>G5*10</f>
        <v>960</v>
      </c>
      <c r="H6" s="306" t="s">
        <v>378</v>
      </c>
      <c r="I6" s="447" t="s">
        <v>445</v>
      </c>
      <c r="M6" s="101"/>
      <c r="O6" s="101"/>
      <c r="P6" s="153"/>
      <c r="Q6" s="101"/>
      <c r="S6" s="101"/>
      <c r="U6" s="101"/>
      <c r="V6" s="307">
        <f>V5*10</f>
        <v>450</v>
      </c>
      <c r="W6" s="306" t="s">
        <v>451</v>
      </c>
      <c r="X6" s="190"/>
      <c r="Z6" s="101"/>
      <c r="AB6" s="101"/>
      <c r="AD6" s="101"/>
      <c r="AF6" s="101"/>
      <c r="AH6" s="101"/>
      <c r="AI6" s="192"/>
    </row>
    <row r="7" spans="1:35" s="88" customFormat="1" ht="19.25" customHeight="1" x14ac:dyDescent="0.35">
      <c r="A7" s="93"/>
      <c r="B7" s="143"/>
      <c r="E7" s="305">
        <f>(1000*F5)-1000</f>
        <v>3000</v>
      </c>
      <c r="F7" s="516" t="s">
        <v>443</v>
      </c>
      <c r="G7" s="440">
        <v>1.84</v>
      </c>
      <c r="H7" s="306" t="s">
        <v>201</v>
      </c>
      <c r="I7" s="448">
        <v>0.51</v>
      </c>
      <c r="P7" s="153"/>
      <c r="Q7" s="101"/>
      <c r="V7" s="305">
        <v>1.22</v>
      </c>
      <c r="W7" s="306" t="s">
        <v>201</v>
      </c>
      <c r="X7" s="190"/>
      <c r="AD7" s="101"/>
      <c r="AI7" s="192"/>
    </row>
    <row r="8" spans="1:35" s="88" customFormat="1" ht="25.2" customHeight="1" x14ac:dyDescent="0.35">
      <c r="A8" s="93"/>
      <c r="E8" s="446"/>
      <c r="F8" s="516"/>
      <c r="G8" s="441">
        <f>G$9*G$7</f>
        <v>40.480000000000004</v>
      </c>
      <c r="H8" s="306" t="s">
        <v>441</v>
      </c>
      <c r="I8" s="515" t="s">
        <v>446</v>
      </c>
      <c r="J8" s="279"/>
      <c r="K8" s="139"/>
      <c r="O8" s="139"/>
      <c r="P8" s="153"/>
      <c r="Q8" s="101"/>
      <c r="R8" s="139"/>
      <c r="S8" s="139"/>
      <c r="U8" s="139"/>
      <c r="V8" s="449">
        <f>V$9*V$7</f>
        <v>30.01078</v>
      </c>
      <c r="W8" s="306" t="s">
        <v>441</v>
      </c>
      <c r="X8" s="190"/>
      <c r="AB8" s="139"/>
      <c r="AD8" s="101"/>
      <c r="AE8" s="139"/>
      <c r="AF8" s="139"/>
      <c r="AH8" s="139"/>
      <c r="AI8" s="192"/>
    </row>
    <row r="9" spans="1:35" s="88" customFormat="1" ht="18.8" thickBot="1" x14ac:dyDescent="0.4">
      <c r="A9" s="93"/>
      <c r="C9" s="91"/>
      <c r="D9" s="91"/>
      <c r="E9" s="443"/>
      <c r="F9" s="517"/>
      <c r="G9" s="442">
        <v>22</v>
      </c>
      <c r="H9" s="310" t="s">
        <v>404</v>
      </c>
      <c r="I9" s="515"/>
      <c r="J9" s="189"/>
      <c r="K9" s="189"/>
      <c r="N9" s="514"/>
      <c r="O9" s="514"/>
      <c r="P9" s="153"/>
      <c r="Q9" s="101"/>
      <c r="R9" s="139"/>
      <c r="S9" s="139"/>
      <c r="T9" s="189"/>
      <c r="U9" s="189"/>
      <c r="V9" s="309">
        <v>24.599</v>
      </c>
      <c r="W9" s="450" t="s">
        <v>404</v>
      </c>
      <c r="X9" s="190"/>
      <c r="AA9" s="189"/>
      <c r="AB9" s="189"/>
      <c r="AD9" s="101"/>
      <c r="AE9" s="139"/>
      <c r="AF9" s="139"/>
      <c r="AH9" s="139"/>
      <c r="AI9" s="192"/>
    </row>
    <row r="10" spans="1:35" s="88" customFormat="1" ht="21.3" thickBot="1" x14ac:dyDescent="0.4">
      <c r="A10" s="272" t="s">
        <v>361</v>
      </c>
      <c r="B10" s="295">
        <v>1000</v>
      </c>
      <c r="C10" s="280">
        <f>B10</f>
        <v>1000</v>
      </c>
      <c r="D10" s="280"/>
      <c r="E10" s="425">
        <f>C10*(E$7/1000)</f>
        <v>3000</v>
      </c>
      <c r="F10" s="155"/>
      <c r="G10" s="425">
        <f>C10*(G$8/1000)</f>
        <v>40.480000000000004</v>
      </c>
      <c r="H10" s="346">
        <f>(H11+H12)/1000</f>
        <v>4040.48</v>
      </c>
      <c r="I10" s="345"/>
      <c r="J10" s="452">
        <f>(L10/H10)</f>
        <v>0.18234247696046571</v>
      </c>
      <c r="K10" s="282">
        <f>100%-J10</f>
        <v>0.81765752303953432</v>
      </c>
      <c r="L10" s="346">
        <f>(L11+L12)/1000</f>
        <v>736.7511313092225</v>
      </c>
      <c r="M10" s="345"/>
      <c r="N10" s="346">
        <f>(N11+N12)/1000</f>
        <v>3250.0990480759492</v>
      </c>
      <c r="O10" s="345"/>
      <c r="P10" s="452">
        <f>(R10/(N10))</f>
        <v>0.11562454154941702</v>
      </c>
      <c r="Q10" s="282">
        <f>100%-P10</f>
        <v>0.88437545845058296</v>
      </c>
      <c r="R10" s="346">
        <f>(R11+R12)/1000</f>
        <v>375.79121242397832</v>
      </c>
      <c r="S10" s="345"/>
      <c r="T10" s="346">
        <f>(T11+T12)/1000</f>
        <v>2927.9376562667999</v>
      </c>
      <c r="U10" s="345"/>
      <c r="V10" s="425">
        <f>C10*(V$8/1000)</f>
        <v>30.01078</v>
      </c>
      <c r="W10" s="452">
        <f>(Y10/(T10+V10))</f>
        <v>0.17339266627520122</v>
      </c>
      <c r="X10" s="282">
        <f>100%-W10</f>
        <v>0.82660733372479878</v>
      </c>
      <c r="Y10" s="346">
        <f>(Y11+Y12)/1000</f>
        <v>512.88656606886252</v>
      </c>
      <c r="Z10" s="345"/>
      <c r="AA10" s="346">
        <f>(AA11+AA12)/1000</f>
        <v>2441.0301133371772</v>
      </c>
      <c r="AB10" s="345"/>
      <c r="AC10" s="452">
        <f>(AE10/(Y10))</f>
        <v>0.19438858561278147</v>
      </c>
      <c r="AD10" s="282">
        <f>100%-AC10</f>
        <v>0.80561141438721851</v>
      </c>
      <c r="AE10" s="346">
        <f>(AE11+AE12)/1000</f>
        <v>99.69929415792258</v>
      </c>
      <c r="AF10" s="345"/>
      <c r="AG10" s="346">
        <f>(AG11+AG12)/1000</f>
        <v>413.18727191094001</v>
      </c>
      <c r="AH10" s="345"/>
      <c r="AI10" s="192"/>
    </row>
    <row r="11" spans="1:35" s="88" customFormat="1" ht="17.55" thickBot="1" x14ac:dyDescent="0.3">
      <c r="A11" s="273" t="s">
        <v>175</v>
      </c>
      <c r="B11" s="384">
        <f>L19/1000</f>
        <v>4.02502835443038</v>
      </c>
      <c r="C11" s="283">
        <f>(C10*1000)-C12</f>
        <v>687000</v>
      </c>
      <c r="D11" s="300"/>
      <c r="E11" s="426">
        <f>(E10*1000)-E12</f>
        <v>3000000</v>
      </c>
      <c r="F11" s="155"/>
      <c r="G11" s="426">
        <f>(G10*1000)-G12</f>
        <v>1619.2000000000044</v>
      </c>
      <c r="H11" s="291">
        <f>C11+E11+G11</f>
        <v>3688619.2</v>
      </c>
      <c r="I11" s="293">
        <f>H11/$H$10</f>
        <v>912.91608917752353</v>
      </c>
      <c r="J11" s="451">
        <v>0.14000000000000001</v>
      </c>
      <c r="K11" s="282">
        <f>100%-J11</f>
        <v>0.86</v>
      </c>
      <c r="L11" s="291">
        <f>($H11)*J11</f>
        <v>516406.68800000008</v>
      </c>
      <c r="M11" s="293">
        <f>L11/$L$10</f>
        <v>700.92418736070942</v>
      </c>
      <c r="N11" s="291">
        <f>($H11)*K11</f>
        <v>3172212.5120000001</v>
      </c>
      <c r="O11" s="293">
        <f>N11/N$10</f>
        <v>976.03564232232929</v>
      </c>
      <c r="P11" s="451">
        <v>0.11</v>
      </c>
      <c r="Q11" s="282">
        <f>100%-P11</f>
        <v>0.89</v>
      </c>
      <c r="R11" s="291">
        <f>($N11)*P11</f>
        <v>348943.37632000004</v>
      </c>
      <c r="S11" s="293">
        <f>R11/R$10</f>
        <v>928.55650899657599</v>
      </c>
      <c r="T11" s="291">
        <f>($N11)*Q11</f>
        <v>2823269.1356800003</v>
      </c>
      <c r="U11" s="293">
        <f>T11/T$10</f>
        <v>964.25179328433694</v>
      </c>
      <c r="V11" s="426">
        <f>(V10*1000)-V12</f>
        <v>16505.928999999996</v>
      </c>
      <c r="W11" s="451">
        <v>0.15</v>
      </c>
      <c r="X11" s="282">
        <f>100%-W11</f>
        <v>0.85</v>
      </c>
      <c r="Y11" s="291">
        <f>(T11+$V11)*W11</f>
        <v>425966.25970200001</v>
      </c>
      <c r="Z11" s="293">
        <f>Y11/Y$10</f>
        <v>830.52723132702954</v>
      </c>
      <c r="AA11" s="291">
        <f>(T11+$V11)*X11</f>
        <v>2413808.804978</v>
      </c>
      <c r="AB11" s="293">
        <f>AA11/AA$10</f>
        <v>988.84843402363333</v>
      </c>
      <c r="AC11" s="451">
        <v>0.03</v>
      </c>
      <c r="AD11" s="282">
        <f>100%-AC11</f>
        <v>0.97</v>
      </c>
      <c r="AE11" s="291">
        <f>(Y11)*AC11</f>
        <v>12778.987791060001</v>
      </c>
      <c r="AF11" s="293">
        <f>AE11/AE$10</f>
        <v>128.17530855151517</v>
      </c>
      <c r="AG11" s="291">
        <f>(Y11)*AD11</f>
        <v>413187.27191094001</v>
      </c>
      <c r="AH11" s="293">
        <f>AG11/AG$10</f>
        <v>1000</v>
      </c>
      <c r="AI11" s="192"/>
    </row>
    <row r="12" spans="1:35" s="88" customFormat="1" ht="19.899999999999999" customHeight="1" thickBot="1" x14ac:dyDescent="0.4">
      <c r="A12" s="272" t="s">
        <v>176</v>
      </c>
      <c r="B12" s="295">
        <v>313</v>
      </c>
      <c r="C12" s="280">
        <f>C13+C16</f>
        <v>313000</v>
      </c>
      <c r="D12" s="301">
        <f>C12/C$10</f>
        <v>313</v>
      </c>
      <c r="E12" s="426">
        <v>0</v>
      </c>
      <c r="F12" s="155"/>
      <c r="G12" s="426">
        <f>G13+G16</f>
        <v>38860.800000000003</v>
      </c>
      <c r="H12" s="291">
        <f>H13+H16</f>
        <v>351860.80000000005</v>
      </c>
      <c r="I12" s="293">
        <f>H12/$H$10</f>
        <v>87.083910822476554</v>
      </c>
      <c r="J12" s="419">
        <f>(L12/H12)</f>
        <v>0.6262261761163006</v>
      </c>
      <c r="K12" s="282">
        <f>100%-J12</f>
        <v>0.3737738238836994</v>
      </c>
      <c r="L12" s="291">
        <f>L13+L16</f>
        <v>220344.44330922246</v>
      </c>
      <c r="M12" s="293">
        <f t="shared" ref="M12:M36" si="0">L12/$L$10</f>
        <v>299.07581263929069</v>
      </c>
      <c r="N12" s="291">
        <f>(N13+N14)</f>
        <v>77886.536075949378</v>
      </c>
      <c r="O12" s="293">
        <f t="shared" ref="O12:O36" si="1">N12/N$10</f>
        <v>23.964357677670783</v>
      </c>
      <c r="P12" s="419">
        <f>(R12/(N12))</f>
        <v>0.34470445672148275</v>
      </c>
      <c r="Q12" s="282">
        <f>100%-P12</f>
        <v>0.65529554327851725</v>
      </c>
      <c r="R12" s="291">
        <f>R13+R16</f>
        <v>26847.836103978298</v>
      </c>
      <c r="S12" s="293">
        <f t="shared" ref="S12" si="2">R12/R$10</f>
        <v>71.443491003424015</v>
      </c>
      <c r="T12" s="291">
        <f>T13+T16</f>
        <v>104668.52058679928</v>
      </c>
      <c r="U12" s="293">
        <f t="shared" ref="U12:U36" si="3">T12/T$10</f>
        <v>35.74820671566296</v>
      </c>
      <c r="V12" s="426">
        <f>V13+V16</f>
        <v>13504.851000000001</v>
      </c>
      <c r="W12" s="419">
        <f>(Y12/(T12+V12))</f>
        <v>0.73553208476428145</v>
      </c>
      <c r="X12" s="282">
        <f>100%-W12</f>
        <v>0.26446791523571855</v>
      </c>
      <c r="Y12" s="291">
        <f>Y13+Y16</f>
        <v>86920.306366862569</v>
      </c>
      <c r="Z12" s="293">
        <f>Y12/Y$10</f>
        <v>169.47276867297055</v>
      </c>
      <c r="AA12" s="291">
        <f>(AA13+AA14)</f>
        <v>27221.308359177212</v>
      </c>
      <c r="AB12" s="293">
        <f t="shared" ref="AB12:AB36" si="4">AA12/AA$10</f>
        <v>11.151565976366618</v>
      </c>
      <c r="AC12" s="419">
        <f>(AE12/(Y12))</f>
        <v>1</v>
      </c>
      <c r="AD12" s="282">
        <f>100%-AC12</f>
        <v>0</v>
      </c>
      <c r="AE12" s="291">
        <f>AE13+AE16</f>
        <v>86920.306366862569</v>
      </c>
      <c r="AF12" s="293">
        <f t="shared" ref="AF12" si="5">AE12/AE$10</f>
        <v>871.82469144848471</v>
      </c>
      <c r="AG12" s="291">
        <f>(AG13+AG14)</f>
        <v>0</v>
      </c>
      <c r="AH12" s="293">
        <f t="shared" ref="AH12:AH36" si="6">AG12/AG$10</f>
        <v>0</v>
      </c>
      <c r="AI12" s="192"/>
    </row>
    <row r="13" spans="1:35" s="88" customFormat="1" ht="17.55" thickBot="1" x14ac:dyDescent="0.3">
      <c r="A13" s="273" t="s">
        <v>177</v>
      </c>
      <c r="B13" s="384">
        <f>B12-B16</f>
        <v>72</v>
      </c>
      <c r="C13" s="280">
        <f>C14+C15</f>
        <v>72000</v>
      </c>
      <c r="D13" s="297">
        <f>C13/C$10</f>
        <v>72</v>
      </c>
      <c r="E13" s="426">
        <v>0</v>
      </c>
      <c r="F13" s="155"/>
      <c r="G13" s="426">
        <f>(G10*G5%*1000)</f>
        <v>38860.800000000003</v>
      </c>
      <c r="H13" s="291">
        <f>H14+H15</f>
        <v>110860.8</v>
      </c>
      <c r="I13" s="293">
        <f t="shared" ref="I13:I36" si="7">H13/$H$10</f>
        <v>27.437532174395123</v>
      </c>
      <c r="J13" s="419">
        <f t="shared" ref="J13" si="8">(L13/H13)</f>
        <v>0.32454612729858001</v>
      </c>
      <c r="K13" s="282">
        <f>100%-J13</f>
        <v>0.67545387270141999</v>
      </c>
      <c r="L13" s="291">
        <f>L14+L15</f>
        <v>35979.443309222421</v>
      </c>
      <c r="M13" s="293">
        <f t="shared" si="0"/>
        <v>48.835273921176316</v>
      </c>
      <c r="N13" s="291">
        <f>N14+N15</f>
        <v>74881.356690777582</v>
      </c>
      <c r="O13" s="293">
        <f t="shared" si="1"/>
        <v>23.039715277325829</v>
      </c>
      <c r="P13" s="419">
        <f>(R13/(N13))</f>
        <v>0.13167157407008664</v>
      </c>
      <c r="Q13" s="282">
        <f>100%-P13</f>
        <v>0.86832842592991333</v>
      </c>
      <c r="R13" s="291">
        <f>R14+R15</f>
        <v>9859.7461039782993</v>
      </c>
      <c r="S13" s="293">
        <f>R13/R$10</f>
        <v>26.23729820710723</v>
      </c>
      <c r="T13" s="291">
        <f>T14+T15</f>
        <v>65021.610586799281</v>
      </c>
      <c r="U13" s="293">
        <f t="shared" si="3"/>
        <v>22.207307060527921</v>
      </c>
      <c r="V13" s="426">
        <f>(V10*V5%*1000)</f>
        <v>13504.851000000001</v>
      </c>
      <c r="W13" s="419">
        <f>(Y13/(T13+V13))</f>
        <v>0.65401831215958006</v>
      </c>
      <c r="X13" s="282">
        <f>100%-W13</f>
        <v>0.34598168784041994</v>
      </c>
      <c r="Y13" s="291">
        <f>Y14+Y15</f>
        <v>51357.743866862569</v>
      </c>
      <c r="Z13" s="293">
        <f>Y13/Y$10</f>
        <v>100.13470280671582</v>
      </c>
      <c r="AA13" s="291">
        <f>AA14+AA15</f>
        <v>27168.717719936707</v>
      </c>
      <c r="AB13" s="293">
        <f t="shared" si="4"/>
        <v>11.13002153127634</v>
      </c>
      <c r="AC13" s="419">
        <f>(AE13/(Y13))</f>
        <v>1</v>
      </c>
      <c r="AD13" s="282">
        <f>100%-AC13</f>
        <v>0</v>
      </c>
      <c r="AE13" s="291">
        <f>AE14+AE15</f>
        <v>51357.743866862569</v>
      </c>
      <c r="AF13" s="293">
        <f>AE13/AE$10</f>
        <v>515.12645400991983</v>
      </c>
      <c r="AG13" s="291">
        <f>AG14+AG15</f>
        <v>0</v>
      </c>
      <c r="AH13" s="293">
        <f t="shared" si="6"/>
        <v>0</v>
      </c>
      <c r="AI13" s="192"/>
    </row>
    <row r="14" spans="1:35" s="88" customFormat="1" ht="17.55" thickBot="1" x14ac:dyDescent="0.3">
      <c r="A14" s="272" t="s">
        <v>178</v>
      </c>
      <c r="B14" s="385">
        <f>B24+B28+B35+( 2*0.3)+(1*0.9)+(6.2*0.7)+(6*0.7)+(0.8*0.1)</f>
        <v>15.025896925858952</v>
      </c>
      <c r="C14" s="283">
        <f>D14*C$10</f>
        <v>15025.896925858951</v>
      </c>
      <c r="D14" s="300">
        <f>B14</f>
        <v>15.025896925858952</v>
      </c>
      <c r="E14" s="426">
        <v>0</v>
      </c>
      <c r="F14" s="155"/>
      <c r="G14" s="426">
        <v>0</v>
      </c>
      <c r="H14" s="291">
        <f>C14+E14+G14</f>
        <v>15025.896925858951</v>
      </c>
      <c r="I14" s="293">
        <f t="shared" si="7"/>
        <v>3.718839574966081</v>
      </c>
      <c r="J14" s="420">
        <v>0.8</v>
      </c>
      <c r="K14" s="282">
        <f>100%-J14</f>
        <v>0.19999999999999996</v>
      </c>
      <c r="L14" s="291">
        <f>($H14)*J14</f>
        <v>12020.717540687161</v>
      </c>
      <c r="M14" s="293">
        <f t="shared" si="0"/>
        <v>16.315845378243381</v>
      </c>
      <c r="N14" s="291">
        <f>($H14)*K14</f>
        <v>3005.1793851717898</v>
      </c>
      <c r="O14" s="293">
        <f t="shared" si="1"/>
        <v>0.92464240034495215</v>
      </c>
      <c r="P14" s="420">
        <v>0.65</v>
      </c>
      <c r="Q14" s="282">
        <f t="shared" ref="Q14:Q36" si="9">100%-P14</f>
        <v>0.35</v>
      </c>
      <c r="R14" s="291">
        <f>($N14)*P14</f>
        <v>1953.3666003616634</v>
      </c>
      <c r="S14" s="293">
        <f t="shared" ref="S14:S36" si="10">R14/R$10</f>
        <v>5.1980103200439389</v>
      </c>
      <c r="T14" s="291">
        <f>($N14)*Q14</f>
        <v>1051.8127848101265</v>
      </c>
      <c r="U14" s="293">
        <f t="shared" si="3"/>
        <v>0.35923332676120445</v>
      </c>
      <c r="V14" s="426">
        <v>0</v>
      </c>
      <c r="W14" s="420">
        <v>0.95</v>
      </c>
      <c r="X14" s="282">
        <f t="shared" ref="X14:X36" si="11">100%-W14</f>
        <v>5.0000000000000044E-2</v>
      </c>
      <c r="Y14" s="291">
        <f>(T14+$V14)*W14</f>
        <v>999.22214556962012</v>
      </c>
      <c r="Z14" s="293">
        <f t="shared" ref="Z14:Z36" si="12">Y14/Y$10</f>
        <v>1.9482322440776503</v>
      </c>
      <c r="AA14" s="291">
        <f>(T14+$V14)*X14</f>
        <v>52.59063924050637</v>
      </c>
      <c r="AB14" s="293">
        <f t="shared" si="4"/>
        <v>2.1544445090277375E-2</v>
      </c>
      <c r="AC14" s="420">
        <v>1</v>
      </c>
      <c r="AD14" s="282">
        <f t="shared" ref="AD14:AD36" si="13">100%-AC14</f>
        <v>0</v>
      </c>
      <c r="AE14" s="291">
        <f>(Y14)*AC14</f>
        <v>999.22214556962012</v>
      </c>
      <c r="AF14" s="293">
        <f t="shared" ref="AF14:AF36" si="14">AE14/AE$10</f>
        <v>10.022359275551773</v>
      </c>
      <c r="AG14" s="291">
        <f>(Y14)*AD14</f>
        <v>0</v>
      </c>
      <c r="AH14" s="293">
        <f t="shared" si="6"/>
        <v>0</v>
      </c>
      <c r="AI14" s="192"/>
    </row>
    <row r="15" spans="1:35" s="88" customFormat="1" ht="17.55" thickBot="1" x14ac:dyDescent="0.3">
      <c r="A15" s="273" t="s">
        <v>179</v>
      </c>
      <c r="B15" s="385">
        <f>B13-B14</f>
        <v>56.974103074141048</v>
      </c>
      <c r="C15" s="302">
        <f>D15*C$10</f>
        <v>56974.10307414105</v>
      </c>
      <c r="D15" s="300">
        <f>B15</f>
        <v>56.974103074141048</v>
      </c>
      <c r="E15" s="426">
        <v>0</v>
      </c>
      <c r="F15" s="155"/>
      <c r="G15" s="426">
        <f>G13</f>
        <v>38860.800000000003</v>
      </c>
      <c r="H15" s="364">
        <f>C15+E15+G15</f>
        <v>95834.903074141053</v>
      </c>
      <c r="I15" s="293">
        <f t="shared" si="7"/>
        <v>23.718692599429041</v>
      </c>
      <c r="J15" s="420">
        <v>0.25</v>
      </c>
      <c r="K15" s="282">
        <f t="shared" ref="K15:K36" si="15">100%-J15</f>
        <v>0.75</v>
      </c>
      <c r="L15" s="291">
        <f t="shared" ref="L15" si="16">($H15)*J15</f>
        <v>23958.725768535263</v>
      </c>
      <c r="M15" s="293">
        <f t="shared" si="0"/>
        <v>32.519428542932935</v>
      </c>
      <c r="N15" s="291">
        <f>($H15)*K15</f>
        <v>71876.177305605786</v>
      </c>
      <c r="O15" s="293">
        <f t="shared" si="1"/>
        <v>22.115072876980875</v>
      </c>
      <c r="P15" s="420">
        <v>0.11</v>
      </c>
      <c r="Q15" s="282">
        <f t="shared" si="9"/>
        <v>0.89</v>
      </c>
      <c r="R15" s="291">
        <f>($N15)*P15</f>
        <v>7906.3795036166366</v>
      </c>
      <c r="S15" s="293">
        <f t="shared" si="10"/>
        <v>21.039287887063296</v>
      </c>
      <c r="T15" s="291">
        <f>($N15)*Q15</f>
        <v>63969.797801989153</v>
      </c>
      <c r="U15" s="293">
        <f t="shared" si="3"/>
        <v>21.848073733766718</v>
      </c>
      <c r="V15" s="426">
        <f>V13</f>
        <v>13504.851000000001</v>
      </c>
      <c r="W15" s="420">
        <v>0.65</v>
      </c>
      <c r="X15" s="282">
        <f t="shared" si="11"/>
        <v>0.35</v>
      </c>
      <c r="Y15" s="291">
        <f>(T15+$V15)*W15</f>
        <v>50358.521721292949</v>
      </c>
      <c r="Z15" s="293">
        <f t="shared" si="12"/>
        <v>98.186470562638178</v>
      </c>
      <c r="AA15" s="291">
        <f>(T15+$V15)*X15</f>
        <v>27116.127080696202</v>
      </c>
      <c r="AB15" s="293">
        <f t="shared" si="4"/>
        <v>11.108477086186063</v>
      </c>
      <c r="AC15" s="420">
        <v>1</v>
      </c>
      <c r="AD15" s="282">
        <f t="shared" si="13"/>
        <v>0</v>
      </c>
      <c r="AE15" s="291">
        <f>(Y15)*AC15</f>
        <v>50358.521721292949</v>
      </c>
      <c r="AF15" s="293">
        <f t="shared" si="14"/>
        <v>505.104094734368</v>
      </c>
      <c r="AG15" s="291">
        <f>(Y15)*AD15</f>
        <v>0</v>
      </c>
      <c r="AH15" s="293">
        <f t="shared" si="6"/>
        <v>0</v>
      </c>
      <c r="AI15" s="192"/>
    </row>
    <row r="16" spans="1:35" s="88" customFormat="1" ht="21.3" thickBot="1" x14ac:dyDescent="0.4">
      <c r="A16" s="272" t="s">
        <v>180</v>
      </c>
      <c r="B16" s="295">
        <f>(241/313)*B12</f>
        <v>241</v>
      </c>
      <c r="C16" s="303">
        <f>C17+C18</f>
        <v>241000.00000000003</v>
      </c>
      <c r="D16" s="301">
        <f>C16/C$10</f>
        <v>241.00000000000003</v>
      </c>
      <c r="E16" s="422">
        <v>0</v>
      </c>
      <c r="F16" s="155"/>
      <c r="G16" s="422">
        <v>0</v>
      </c>
      <c r="H16" s="291">
        <f>H17+H18</f>
        <v>241000.00000000003</v>
      </c>
      <c r="I16" s="293">
        <f t="shared" si="7"/>
        <v>59.646378648081424</v>
      </c>
      <c r="J16" s="419">
        <f>(L16/H16)</f>
        <v>0.76500000000000001</v>
      </c>
      <c r="K16" s="282">
        <f t="shared" si="15"/>
        <v>0.23499999999999999</v>
      </c>
      <c r="L16" s="291">
        <f>L17+L18</f>
        <v>184365.00000000003</v>
      </c>
      <c r="M16" s="293">
        <f>L16/$L$10</f>
        <v>250.24053871811432</v>
      </c>
      <c r="N16" s="291">
        <f>N17+N18</f>
        <v>56634.999999999993</v>
      </c>
      <c r="O16" s="293">
        <f t="shared" si="1"/>
        <v>17.42562277710514</v>
      </c>
      <c r="P16" s="419">
        <f>(R16/(N16))</f>
        <v>0.29995744680851061</v>
      </c>
      <c r="Q16" s="282">
        <f t="shared" si="9"/>
        <v>0.70004255319148934</v>
      </c>
      <c r="R16" s="291">
        <f>R17+R18</f>
        <v>16988.089999999997</v>
      </c>
      <c r="S16" s="293">
        <f t="shared" si="10"/>
        <v>45.206192796316778</v>
      </c>
      <c r="T16" s="291">
        <f>T17+T18</f>
        <v>39646.909999999996</v>
      </c>
      <c r="U16" s="293">
        <f t="shared" si="3"/>
        <v>13.540899655135036</v>
      </c>
      <c r="V16" s="422">
        <f>V17+V18</f>
        <v>0</v>
      </c>
      <c r="W16" s="419">
        <f>(Y16/(T16+V16))</f>
        <v>0.89698194638623796</v>
      </c>
      <c r="X16" s="282">
        <f t="shared" si="11"/>
        <v>0.10301805361376204</v>
      </c>
      <c r="Y16" s="291">
        <f>Y17+Y18</f>
        <v>35562.5625</v>
      </c>
      <c r="Z16" s="293">
        <f t="shared" si="12"/>
        <v>69.338065866254738</v>
      </c>
      <c r="AA16" s="291">
        <f>AA17+AA18</f>
        <v>4084.3475000000012</v>
      </c>
      <c r="AB16" s="293">
        <f t="shared" si="4"/>
        <v>1.6732065195280261</v>
      </c>
      <c r="AC16" s="419">
        <f>(AE16/(Y16))</f>
        <v>1</v>
      </c>
      <c r="AD16" s="282">
        <f t="shared" si="13"/>
        <v>0</v>
      </c>
      <c r="AE16" s="291">
        <f>AE17+AE18</f>
        <v>35562.5625</v>
      </c>
      <c r="AF16" s="293">
        <f t="shared" si="14"/>
        <v>356.69823743856495</v>
      </c>
      <c r="AG16" s="291">
        <f>AG17+AG18</f>
        <v>0</v>
      </c>
      <c r="AH16" s="293">
        <f t="shared" si="6"/>
        <v>0</v>
      </c>
      <c r="AI16" s="192"/>
    </row>
    <row r="17" spans="1:35" s="88" customFormat="1" ht="17.55" thickBot="1" x14ac:dyDescent="0.3">
      <c r="A17" s="273" t="s">
        <v>181</v>
      </c>
      <c r="B17" s="265">
        <f>0.93*B16</f>
        <v>224.13000000000002</v>
      </c>
      <c r="C17" s="302">
        <f t="shared" ref="C17:C18" si="17">D17*C$10</f>
        <v>224130.00000000003</v>
      </c>
      <c r="D17" s="300">
        <f>B17</f>
        <v>224.13000000000002</v>
      </c>
      <c r="E17" s="422">
        <v>0</v>
      </c>
      <c r="F17" s="155"/>
      <c r="G17" s="422">
        <v>0</v>
      </c>
      <c r="H17" s="291">
        <f>C17+E17+G17</f>
        <v>224130.00000000003</v>
      </c>
      <c r="I17" s="293">
        <f t="shared" si="7"/>
        <v>55.471132142715724</v>
      </c>
      <c r="J17" s="420">
        <v>0.8</v>
      </c>
      <c r="K17" s="282">
        <f t="shared" si="15"/>
        <v>0.19999999999999996</v>
      </c>
      <c r="L17" s="291">
        <f t="shared" ref="L17:L18" si="18">($H17)*J17</f>
        <v>179304.00000000003</v>
      </c>
      <c r="M17" s="293">
        <f t="shared" si="0"/>
        <v>243.37119059644061</v>
      </c>
      <c r="N17" s="291">
        <f>($H17)*K17</f>
        <v>44825.999999999993</v>
      </c>
      <c r="O17" s="293">
        <f t="shared" si="1"/>
        <v>13.792195049113003</v>
      </c>
      <c r="P17" s="420">
        <v>0.35</v>
      </c>
      <c r="Q17" s="282">
        <f t="shared" si="9"/>
        <v>0.65</v>
      </c>
      <c r="R17" s="291">
        <f t="shared" ref="R17:R18" si="19">($N17)*P17</f>
        <v>15689.099999999997</v>
      </c>
      <c r="S17" s="293">
        <f t="shared" si="10"/>
        <v>41.749512711593447</v>
      </c>
      <c r="T17" s="291">
        <f>($N17)*Q17</f>
        <v>29136.899999999998</v>
      </c>
      <c r="U17" s="293">
        <f t="shared" si="3"/>
        <v>9.9513389356624273</v>
      </c>
      <c r="V17" s="422">
        <v>0</v>
      </c>
      <c r="W17" s="420">
        <v>0.95</v>
      </c>
      <c r="X17" s="282">
        <f t="shared" si="11"/>
        <v>5.0000000000000044E-2</v>
      </c>
      <c r="Y17" s="291">
        <f>(T17+$V17)*W17</f>
        <v>27680.054999999997</v>
      </c>
      <c r="Z17" s="293">
        <f t="shared" si="12"/>
        <v>53.969155815797961</v>
      </c>
      <c r="AA17" s="291">
        <f>(T17+$V17)*X17</f>
        <v>1456.8450000000012</v>
      </c>
      <c r="AB17" s="293">
        <f t="shared" si="4"/>
        <v>0.59681566074919146</v>
      </c>
      <c r="AC17" s="420">
        <v>1</v>
      </c>
      <c r="AD17" s="282">
        <f t="shared" si="13"/>
        <v>0</v>
      </c>
      <c r="AE17" s="291">
        <f>(Y17)*AC17</f>
        <v>27680.054999999997</v>
      </c>
      <c r="AF17" s="293">
        <f t="shared" si="14"/>
        <v>277.63541591533334</v>
      </c>
      <c r="AG17" s="291">
        <f>(Y17)*AD17</f>
        <v>0</v>
      </c>
      <c r="AH17" s="293">
        <f t="shared" si="6"/>
        <v>0</v>
      </c>
      <c r="AI17" s="192"/>
    </row>
    <row r="18" spans="1:35" s="88" customFormat="1" ht="17.55" thickBot="1" x14ac:dyDescent="0.3">
      <c r="A18" s="272" t="s">
        <v>182</v>
      </c>
      <c r="B18" s="265">
        <f>0.07*B16</f>
        <v>16.87</v>
      </c>
      <c r="C18" s="302">
        <f t="shared" si="17"/>
        <v>16870</v>
      </c>
      <c r="D18" s="300">
        <f>B18</f>
        <v>16.87</v>
      </c>
      <c r="E18" s="422">
        <v>0</v>
      </c>
      <c r="F18" s="155"/>
      <c r="G18" s="422">
        <v>0</v>
      </c>
      <c r="H18" s="291">
        <f>C18+E18+G18</f>
        <v>16870</v>
      </c>
      <c r="I18" s="293">
        <f t="shared" si="7"/>
        <v>4.1752465053656991</v>
      </c>
      <c r="J18" s="420">
        <v>0.3</v>
      </c>
      <c r="K18" s="282">
        <f t="shared" si="15"/>
        <v>0.7</v>
      </c>
      <c r="L18" s="291">
        <f t="shared" si="18"/>
        <v>5061</v>
      </c>
      <c r="M18" s="293">
        <f t="shared" si="0"/>
        <v>6.8693481216737258</v>
      </c>
      <c r="N18" s="291">
        <f>($H18)*K18</f>
        <v>11809</v>
      </c>
      <c r="O18" s="293">
        <f t="shared" si="1"/>
        <v>3.6334277279921361</v>
      </c>
      <c r="P18" s="420">
        <v>0.11</v>
      </c>
      <c r="Q18" s="282">
        <f t="shared" si="9"/>
        <v>0.89</v>
      </c>
      <c r="R18" s="291">
        <f t="shared" si="19"/>
        <v>1298.99</v>
      </c>
      <c r="S18" s="293">
        <f t="shared" si="10"/>
        <v>3.4566800847233292</v>
      </c>
      <c r="T18" s="291">
        <f>($N18)*Q18</f>
        <v>10510.01</v>
      </c>
      <c r="U18" s="293">
        <f t="shared" si="3"/>
        <v>3.5895607194726096</v>
      </c>
      <c r="V18" s="422">
        <v>0</v>
      </c>
      <c r="W18" s="420">
        <v>0.75</v>
      </c>
      <c r="X18" s="282">
        <f t="shared" si="11"/>
        <v>0.25</v>
      </c>
      <c r="Y18" s="291">
        <f>(T18+$V18)*W18</f>
        <v>7882.5074999999997</v>
      </c>
      <c r="Z18" s="293">
        <f t="shared" si="12"/>
        <v>15.368910050456767</v>
      </c>
      <c r="AA18" s="291">
        <f>(T18+$V18)*X18</f>
        <v>2627.5025000000001</v>
      </c>
      <c r="AB18" s="293">
        <f t="shared" si="4"/>
        <v>1.0763908587788347</v>
      </c>
      <c r="AC18" s="420">
        <v>1</v>
      </c>
      <c r="AD18" s="282">
        <f t="shared" si="13"/>
        <v>0</v>
      </c>
      <c r="AE18" s="291">
        <f>(Y18)*AC18</f>
        <v>7882.5074999999997</v>
      </c>
      <c r="AF18" s="293">
        <f t="shared" si="14"/>
        <v>79.062821523231605</v>
      </c>
      <c r="AG18" s="291">
        <f>(Y18)*AD18</f>
        <v>0</v>
      </c>
      <c r="AH18" s="293">
        <f t="shared" si="6"/>
        <v>0</v>
      </c>
      <c r="AI18" s="192"/>
    </row>
    <row r="19" spans="1:35" s="88" customFormat="1" ht="21.3" thickBot="1" x14ac:dyDescent="0.4">
      <c r="A19" s="273" t="s">
        <v>183</v>
      </c>
      <c r="B19" s="295">
        <v>11.6</v>
      </c>
      <c r="C19" s="303">
        <f>C20+C23</f>
        <v>11600</v>
      </c>
      <c r="D19" s="299">
        <f>C19/C$10</f>
        <v>11.6</v>
      </c>
      <c r="E19" s="422">
        <v>0</v>
      </c>
      <c r="F19" s="154"/>
      <c r="G19" s="422">
        <v>0</v>
      </c>
      <c r="H19" s="291">
        <f>H20+H23</f>
        <v>11600</v>
      </c>
      <c r="I19" s="293">
        <f t="shared" si="7"/>
        <v>2.8709460262147073</v>
      </c>
      <c r="J19" s="419">
        <f t="shared" ref="J19:J20" si="20">(L19/H19)</f>
        <v>0.34698520296813623</v>
      </c>
      <c r="K19" s="282">
        <f t="shared" si="15"/>
        <v>0.65301479703186383</v>
      </c>
      <c r="L19" s="291">
        <f>L20+L23</f>
        <v>4025.0283544303802</v>
      </c>
      <c r="M19" s="293">
        <f t="shared" si="0"/>
        <v>5.4632129947025918</v>
      </c>
      <c r="N19" s="291">
        <f>N20+N23</f>
        <v>7574.9716455696207</v>
      </c>
      <c r="O19" s="293">
        <f t="shared" si="1"/>
        <v>2.3306894754650589</v>
      </c>
      <c r="P19" s="419">
        <f>(R19/(N19))</f>
        <v>0.22229896135634947</v>
      </c>
      <c r="Q19" s="282">
        <f t="shared" si="9"/>
        <v>0.77770103864365048</v>
      </c>
      <c r="R19" s="291">
        <f>R20+R23</f>
        <v>1683.9083291139241</v>
      </c>
      <c r="S19" s="293">
        <f t="shared" si="10"/>
        <v>4.4809678178799208</v>
      </c>
      <c r="T19" s="291">
        <f>T20+T23</f>
        <v>5891.0633164556966</v>
      </c>
      <c r="U19" s="293">
        <f t="shared" si="3"/>
        <v>2.012018016793077</v>
      </c>
      <c r="V19" s="422">
        <v>0</v>
      </c>
      <c r="W19" s="419">
        <f>(Y19/(T19+V19))</f>
        <v>0.62974236848888321</v>
      </c>
      <c r="X19" s="282">
        <f t="shared" si="11"/>
        <v>0.37025763151111679</v>
      </c>
      <c r="Y19" s="291">
        <f>Y20+Y23</f>
        <v>3709.8521658227855</v>
      </c>
      <c r="Z19" s="293">
        <f t="shared" si="12"/>
        <v>7.2332800491496663</v>
      </c>
      <c r="AA19" s="291">
        <f>AA20+AA23</f>
        <v>2181.2111506329111</v>
      </c>
      <c r="AB19" s="293">
        <f t="shared" si="4"/>
        <v>0.89356175440660057</v>
      </c>
      <c r="AC19" s="419">
        <f>(AE19/(Y19))</f>
        <v>0.79804262636060264</v>
      </c>
      <c r="AD19" s="282">
        <f t="shared" si="13"/>
        <v>0.20195737363939736</v>
      </c>
      <c r="AE19" s="291">
        <f>AE20+AE23</f>
        <v>2960.6201658227856</v>
      </c>
      <c r="AF19" s="293">
        <f t="shared" si="14"/>
        <v>29.695497754810539</v>
      </c>
      <c r="AG19" s="291">
        <f>AG20+AG23</f>
        <v>749.23200000000031</v>
      </c>
      <c r="AH19" s="293">
        <f t="shared" si="6"/>
        <v>1.8132988379213497</v>
      </c>
      <c r="AI19" s="192"/>
    </row>
    <row r="20" spans="1:35" s="88" customFormat="1" ht="17.55" thickBot="1" x14ac:dyDescent="0.3">
      <c r="A20" s="272" t="s">
        <v>184</v>
      </c>
      <c r="B20" s="265">
        <f>D22/0.79</f>
        <v>8.3544303797468338</v>
      </c>
      <c r="C20" s="303">
        <f>C21+C22</f>
        <v>8354.4303797468347</v>
      </c>
      <c r="D20" s="296">
        <f>C20/C10</f>
        <v>8.3544303797468338</v>
      </c>
      <c r="E20" s="422">
        <v>0</v>
      </c>
      <c r="F20" s="155"/>
      <c r="G20" s="422">
        <v>0</v>
      </c>
      <c r="H20" s="291">
        <f>H21+H22</f>
        <v>8354.4303797468347</v>
      </c>
      <c r="I20" s="293">
        <f t="shared" si="7"/>
        <v>2.0676826465535862</v>
      </c>
      <c r="J20" s="419">
        <f t="shared" si="20"/>
        <v>0.24709999999999993</v>
      </c>
      <c r="K20" s="282">
        <f t="shared" si="15"/>
        <v>0.75290000000000012</v>
      </c>
      <c r="L20" s="291">
        <f>L21+L22</f>
        <v>2064.3797468354423</v>
      </c>
      <c r="M20" s="293">
        <f t="shared" si="0"/>
        <v>2.8020041763179862</v>
      </c>
      <c r="N20" s="291">
        <f>N21+N22</f>
        <v>6290.0506329113923</v>
      </c>
      <c r="O20" s="293">
        <f t="shared" si="1"/>
        <v>1.9353412126424538</v>
      </c>
      <c r="P20" s="419">
        <f>(R20/(N20))</f>
        <v>0.21464337893478549</v>
      </c>
      <c r="Q20" s="282">
        <f t="shared" si="9"/>
        <v>0.78535662106521453</v>
      </c>
      <c r="R20" s="291">
        <f>R21+R22</f>
        <v>1350.1177215189873</v>
      </c>
      <c r="S20" s="293">
        <f t="shared" si="10"/>
        <v>3.5927336161223113</v>
      </c>
      <c r="T20" s="291">
        <f>T21+T22</f>
        <v>4939.932911392405</v>
      </c>
      <c r="U20" s="293">
        <f t="shared" si="3"/>
        <v>1.6871714808610214</v>
      </c>
      <c r="V20" s="422">
        <v>0</v>
      </c>
      <c r="W20" s="419">
        <f>(Y20/(T20+V20))</f>
        <v>0.58231889327662167</v>
      </c>
      <c r="X20" s="282">
        <f t="shared" si="11"/>
        <v>0.41768110672337833</v>
      </c>
      <c r="Y20" s="291">
        <f>Y21+Y22</f>
        <v>2876.616265822785</v>
      </c>
      <c r="Z20" s="293">
        <f t="shared" si="12"/>
        <v>5.6086792989554679</v>
      </c>
      <c r="AA20" s="291">
        <f>AA21+AA22</f>
        <v>2063.3166455696201</v>
      </c>
      <c r="AB20" s="293">
        <f t="shared" si="4"/>
        <v>0.84526472422284948</v>
      </c>
      <c r="AC20" s="419">
        <f>(AE20/(Y20))</f>
        <v>0.73954398822614575</v>
      </c>
      <c r="AD20" s="282">
        <f t="shared" si="13"/>
        <v>0.26045601177385425</v>
      </c>
      <c r="AE20" s="291">
        <f>AE21+AE22</f>
        <v>2127.384265822785</v>
      </c>
      <c r="AF20" s="293">
        <f t="shared" si="14"/>
        <v>21.338007292740024</v>
      </c>
      <c r="AG20" s="291">
        <f>AG21+AG22</f>
        <v>749.23200000000031</v>
      </c>
      <c r="AH20" s="293">
        <f t="shared" si="6"/>
        <v>1.8132988379213497</v>
      </c>
      <c r="AI20" s="192"/>
    </row>
    <row r="21" spans="1:35" s="88" customFormat="1" ht="17.55" thickBot="1" x14ac:dyDescent="0.3">
      <c r="A21" s="273" t="s">
        <v>185</v>
      </c>
      <c r="B21" s="265">
        <f>B20-B22</f>
        <v>1.7544303797468341</v>
      </c>
      <c r="C21" s="303">
        <f>D21*C$10</f>
        <v>1754.4303797468342</v>
      </c>
      <c r="D21" s="296">
        <f>B21</f>
        <v>1.7544303797468341</v>
      </c>
      <c r="E21" s="422">
        <v>0</v>
      </c>
      <c r="F21" s="154"/>
      <c r="G21" s="422">
        <v>0</v>
      </c>
      <c r="H21" s="291">
        <f>C21+E21+G21</f>
        <v>1754.4303797468342</v>
      </c>
      <c r="I21" s="293">
        <f t="shared" si="7"/>
        <v>0.43421335577625286</v>
      </c>
      <c r="J21" s="420">
        <v>0.65</v>
      </c>
      <c r="K21" s="282">
        <f t="shared" si="15"/>
        <v>0.35</v>
      </c>
      <c r="L21" s="291">
        <f t="shared" ref="L21:L22" si="21">($H21)*J21</f>
        <v>1140.3797468354423</v>
      </c>
      <c r="M21" s="293">
        <f t="shared" si="0"/>
        <v>1.5478493325269325</v>
      </c>
      <c r="N21" s="291">
        <f>($H21)*K21</f>
        <v>614.05063291139197</v>
      </c>
      <c r="O21" s="293">
        <f t="shared" si="1"/>
        <v>0.18893289829887136</v>
      </c>
      <c r="P21" s="420">
        <v>0.35</v>
      </c>
      <c r="Q21" s="282">
        <f t="shared" si="9"/>
        <v>0.65</v>
      </c>
      <c r="R21" s="291">
        <f t="shared" ref="R21:R22" si="22">($N21)*P21</f>
        <v>214.91772151898718</v>
      </c>
      <c r="S21" s="293">
        <f t="shared" si="10"/>
        <v>0.57190725704493295</v>
      </c>
      <c r="T21" s="291">
        <f>($N21)*Q21</f>
        <v>399.13291139240482</v>
      </c>
      <c r="U21" s="293">
        <f t="shared" si="3"/>
        <v>0.13631878757326757</v>
      </c>
      <c r="V21" s="422">
        <v>0</v>
      </c>
      <c r="W21" s="420">
        <v>0.95</v>
      </c>
      <c r="X21" s="282">
        <f t="shared" si="11"/>
        <v>5.0000000000000044E-2</v>
      </c>
      <c r="Y21" s="291">
        <f>(T21+$V21)*W21</f>
        <v>379.17626582278456</v>
      </c>
      <c r="Z21" s="293">
        <f t="shared" si="12"/>
        <v>0.73929849387374014</v>
      </c>
      <c r="AA21" s="291">
        <f>(T21+$V21)*X21</f>
        <v>19.95664556962026</v>
      </c>
      <c r="AB21" s="293">
        <f t="shared" si="4"/>
        <v>8.1755015886867382E-3</v>
      </c>
      <c r="AC21" s="420">
        <v>1</v>
      </c>
      <c r="AD21" s="282">
        <f t="shared" si="13"/>
        <v>0</v>
      </c>
      <c r="AE21" s="291">
        <f>(Y21)*AC21</f>
        <v>379.17626582278456</v>
      </c>
      <c r="AF21" s="293">
        <f t="shared" si="14"/>
        <v>3.8031991001077055</v>
      </c>
      <c r="AG21" s="291">
        <f>(Y21)*AD21</f>
        <v>0</v>
      </c>
      <c r="AH21" s="293">
        <f t="shared" si="6"/>
        <v>0</v>
      </c>
      <c r="AI21" s="192"/>
    </row>
    <row r="22" spans="1:35" s="88" customFormat="1" ht="21.3" thickBot="1" x14ac:dyDescent="0.4">
      <c r="A22" s="272" t="s">
        <v>186</v>
      </c>
      <c r="B22" s="295">
        <v>6.6</v>
      </c>
      <c r="C22" s="302">
        <f t="shared" ref="C22" si="23">D22*C$10</f>
        <v>6600</v>
      </c>
      <c r="D22" s="299">
        <f>B22</f>
        <v>6.6</v>
      </c>
      <c r="E22" s="422">
        <v>0</v>
      </c>
      <c r="F22" s="154"/>
      <c r="G22" s="422">
        <v>0</v>
      </c>
      <c r="H22" s="291">
        <f>C22+E22+G22</f>
        <v>6600</v>
      </c>
      <c r="I22" s="293">
        <f t="shared" si="7"/>
        <v>1.6334692907773334</v>
      </c>
      <c r="J22" s="424">
        <v>0.14000000000000001</v>
      </c>
      <c r="K22" s="282">
        <f t="shared" si="15"/>
        <v>0.86</v>
      </c>
      <c r="L22" s="291">
        <f t="shared" si="21"/>
        <v>924.00000000000011</v>
      </c>
      <c r="M22" s="293">
        <f t="shared" si="0"/>
        <v>1.2541548437910539</v>
      </c>
      <c r="N22" s="291">
        <f>($H22)*K22</f>
        <v>5676</v>
      </c>
      <c r="O22" s="293">
        <f t="shared" si="1"/>
        <v>1.7464083143435822</v>
      </c>
      <c r="P22" s="424">
        <v>0.2</v>
      </c>
      <c r="Q22" s="282">
        <f t="shared" si="9"/>
        <v>0.8</v>
      </c>
      <c r="R22" s="291">
        <f t="shared" si="22"/>
        <v>1135.2</v>
      </c>
      <c r="S22" s="293">
        <f t="shared" si="10"/>
        <v>3.0208263590773781</v>
      </c>
      <c r="T22" s="291">
        <f>($N22)*Q22</f>
        <v>4540.8</v>
      </c>
      <c r="U22" s="293">
        <f t="shared" si="3"/>
        <v>1.5508526932877538</v>
      </c>
      <c r="V22" s="422">
        <v>0</v>
      </c>
      <c r="W22" s="424">
        <v>0.55000000000000004</v>
      </c>
      <c r="X22" s="282">
        <f t="shared" si="11"/>
        <v>0.44999999999999996</v>
      </c>
      <c r="Y22" s="291">
        <f>(T22+$V22)*W22</f>
        <v>2497.4400000000005</v>
      </c>
      <c r="Z22" s="293">
        <f t="shared" si="12"/>
        <v>4.869380805081728</v>
      </c>
      <c r="AA22" s="291">
        <f>(T22+$V22)*X22</f>
        <v>2043.36</v>
      </c>
      <c r="AB22" s="293">
        <f t="shared" si="4"/>
        <v>0.83708922263416274</v>
      </c>
      <c r="AC22" s="424">
        <v>0.7</v>
      </c>
      <c r="AD22" s="282">
        <f t="shared" si="13"/>
        <v>0.30000000000000004</v>
      </c>
      <c r="AE22" s="291">
        <f>(Y22)*AC22</f>
        <v>1748.2080000000003</v>
      </c>
      <c r="AF22" s="293">
        <f t="shared" si="14"/>
        <v>17.534808192632319</v>
      </c>
      <c r="AG22" s="291">
        <f>(Y22)*AD22</f>
        <v>749.23200000000031</v>
      </c>
      <c r="AH22" s="293">
        <f t="shared" si="6"/>
        <v>1.8132988379213497</v>
      </c>
      <c r="AI22" s="192"/>
    </row>
    <row r="23" spans="1:35" s="88" customFormat="1" ht="17.55" thickBot="1" x14ac:dyDescent="0.3">
      <c r="A23" s="273" t="s">
        <v>187</v>
      </c>
      <c r="B23" s="265">
        <f>B19-B20</f>
        <v>3.2455696202531659</v>
      </c>
      <c r="C23" s="303">
        <f>C24+C25</f>
        <v>3245.5696202531662</v>
      </c>
      <c r="D23" s="296">
        <f>C23/C10</f>
        <v>3.2455696202531663</v>
      </c>
      <c r="E23" s="422">
        <v>0</v>
      </c>
      <c r="F23" s="154"/>
      <c r="G23" s="422">
        <v>0</v>
      </c>
      <c r="H23" s="291">
        <f>H24+H25</f>
        <v>3245.5696202531662</v>
      </c>
      <c r="I23" s="293">
        <f t="shared" si="7"/>
        <v>0.80326337966112105</v>
      </c>
      <c r="J23" s="419">
        <f>(L23/H23)</f>
        <v>0.60410000000000008</v>
      </c>
      <c r="K23" s="282">
        <f t="shared" si="15"/>
        <v>0.39589999999999992</v>
      </c>
      <c r="L23" s="291">
        <f>L24+L25</f>
        <v>1960.6486075949379</v>
      </c>
      <c r="M23" s="293">
        <f t="shared" si="0"/>
        <v>2.6612088183846061</v>
      </c>
      <c r="N23" s="291">
        <f>N24+N25</f>
        <v>1284.9210126582284</v>
      </c>
      <c r="O23" s="293">
        <f t="shared" si="1"/>
        <v>0.39534826282260493</v>
      </c>
      <c r="P23" s="419">
        <f>(R23/(N23))</f>
        <v>0.25977519575650415</v>
      </c>
      <c r="Q23" s="282">
        <f t="shared" si="9"/>
        <v>0.74022480424349579</v>
      </c>
      <c r="R23" s="291">
        <f>R24+R25</f>
        <v>333.79060759493683</v>
      </c>
      <c r="S23" s="293">
        <f t="shared" si="10"/>
        <v>0.88823420175761003</v>
      </c>
      <c r="T23" s="291">
        <f>T24+T25</f>
        <v>951.13040506329151</v>
      </c>
      <c r="U23" s="293">
        <f t="shared" si="3"/>
        <v>0.32484653593205554</v>
      </c>
      <c r="V23" s="422">
        <v>0</v>
      </c>
      <c r="W23" s="419">
        <f>(Y23/(T23))</f>
        <v>0.87604801146542466</v>
      </c>
      <c r="X23" s="282">
        <f t="shared" si="11"/>
        <v>0.12395198853457534</v>
      </c>
      <c r="Y23" s="291">
        <f>Y24+Y25</f>
        <v>833.23590000000036</v>
      </c>
      <c r="Z23" s="293">
        <f t="shared" si="12"/>
        <v>1.6246007501941984</v>
      </c>
      <c r="AA23" s="291">
        <f>AA24+AA25</f>
        <v>117.89450506329121</v>
      </c>
      <c r="AB23" s="293">
        <f t="shared" si="4"/>
        <v>4.8297030183751179E-2</v>
      </c>
      <c r="AC23" s="419">
        <f>(AE23/(Y23))</f>
        <v>1</v>
      </c>
      <c r="AD23" s="282">
        <f t="shared" si="13"/>
        <v>0</v>
      </c>
      <c r="AE23" s="291">
        <f>AE24+AE25</f>
        <v>833.23590000000036</v>
      </c>
      <c r="AF23" s="293">
        <f t="shared" si="14"/>
        <v>8.3574904620705119</v>
      </c>
      <c r="AG23" s="291">
        <f>AG24+AG25</f>
        <v>0</v>
      </c>
      <c r="AH23" s="293">
        <f t="shared" si="6"/>
        <v>0</v>
      </c>
      <c r="AI23" s="192"/>
    </row>
    <row r="24" spans="1:35" s="88" customFormat="1" ht="17.55" thickBot="1" x14ac:dyDescent="0.3">
      <c r="A24" s="272" t="s">
        <v>188</v>
      </c>
      <c r="B24" s="265">
        <f>0.91*B23</f>
        <v>2.953468354430381</v>
      </c>
      <c r="C24" s="302">
        <f t="shared" ref="C24:C25" si="24">D24*C$10</f>
        <v>2953.4683544303812</v>
      </c>
      <c r="D24" s="298">
        <f>B24</f>
        <v>2.953468354430381</v>
      </c>
      <c r="E24" s="422">
        <v>0</v>
      </c>
      <c r="F24" s="155"/>
      <c r="G24" s="422">
        <v>0</v>
      </c>
      <c r="H24" s="291">
        <f>C24+E24+G24</f>
        <v>2953.4683544303812</v>
      </c>
      <c r="I24" s="293">
        <f t="shared" si="7"/>
        <v>0.73096967549162006</v>
      </c>
      <c r="J24" s="420">
        <v>0.65</v>
      </c>
      <c r="K24" s="282">
        <f t="shared" si="15"/>
        <v>0.35</v>
      </c>
      <c r="L24" s="291">
        <f t="shared" ref="L24:L25" si="25">($H24)*J24</f>
        <v>1919.7544303797479</v>
      </c>
      <c r="M24" s="293">
        <f t="shared" si="0"/>
        <v>2.6057027248377662</v>
      </c>
      <c r="N24" s="291">
        <f>($H24)*K24</f>
        <v>1033.7139240506333</v>
      </c>
      <c r="O24" s="293">
        <f t="shared" si="1"/>
        <v>0.31805612960090845</v>
      </c>
      <c r="P24" s="420">
        <v>0.25</v>
      </c>
      <c r="Q24" s="282">
        <f t="shared" si="9"/>
        <v>0.75</v>
      </c>
      <c r="R24" s="291">
        <f t="shared" ref="R24:R25" si="26">($N24)*P24</f>
        <v>258.42848101265832</v>
      </c>
      <c r="S24" s="293">
        <f t="shared" si="10"/>
        <v>0.68769165554912437</v>
      </c>
      <c r="T24" s="291">
        <f>($N24)*Q24</f>
        <v>775.28544303797503</v>
      </c>
      <c r="U24" s="293">
        <f t="shared" si="3"/>
        <v>0.2647889176801958</v>
      </c>
      <c r="V24" s="422">
        <v>0</v>
      </c>
      <c r="W24" s="420">
        <v>0.95</v>
      </c>
      <c r="X24" s="282">
        <f t="shared" si="11"/>
        <v>5.0000000000000044E-2</v>
      </c>
      <c r="Y24" s="291">
        <f>(T24+$V24)*W24</f>
        <v>736.52117088607622</v>
      </c>
      <c r="Z24" s="293">
        <f t="shared" si="12"/>
        <v>1.4360313168880845</v>
      </c>
      <c r="AA24" s="291">
        <f>(T24+$V24)*X24</f>
        <v>38.764272151898787</v>
      </c>
      <c r="AB24" s="293">
        <f t="shared" si="4"/>
        <v>1.5880292479843044E-2</v>
      </c>
      <c r="AC24" s="420">
        <v>1</v>
      </c>
      <c r="AD24" s="282">
        <f t="shared" si="13"/>
        <v>0</v>
      </c>
      <c r="AE24" s="291">
        <f>(Y24)*AC24</f>
        <v>736.52117088607622</v>
      </c>
      <c r="AF24" s="293">
        <f t="shared" si="14"/>
        <v>7.3874261308152773</v>
      </c>
      <c r="AG24" s="291">
        <f>(Y24)*AD24</f>
        <v>0</v>
      </c>
      <c r="AH24" s="293">
        <f t="shared" si="6"/>
        <v>0</v>
      </c>
      <c r="AI24" s="192"/>
    </row>
    <row r="25" spans="1:35" s="88" customFormat="1" ht="17.55" thickBot="1" x14ac:dyDescent="0.3">
      <c r="A25" s="273" t="s">
        <v>189</v>
      </c>
      <c r="B25" s="265">
        <f>0.09*B23</f>
        <v>0.29210126582278489</v>
      </c>
      <c r="C25" s="302">
        <f t="shared" si="24"/>
        <v>292.10126582278491</v>
      </c>
      <c r="D25" s="298">
        <f>B25</f>
        <v>0.29210126582278489</v>
      </c>
      <c r="E25" s="422">
        <v>0</v>
      </c>
      <c r="F25" s="155"/>
      <c r="G25" s="422">
        <v>0</v>
      </c>
      <c r="H25" s="291">
        <f>C25+E25+G25</f>
        <v>292.10126582278491</v>
      </c>
      <c r="I25" s="293">
        <f t="shared" si="7"/>
        <v>7.2293704169500872E-2</v>
      </c>
      <c r="J25" s="420">
        <v>0.14000000000000001</v>
      </c>
      <c r="K25" s="282">
        <f t="shared" si="15"/>
        <v>0.86</v>
      </c>
      <c r="L25" s="291">
        <f t="shared" si="25"/>
        <v>40.894177215189892</v>
      </c>
      <c r="M25" s="293">
        <f t="shared" si="0"/>
        <v>5.5506093546839982E-2</v>
      </c>
      <c r="N25" s="291">
        <f>($H25)*K25</f>
        <v>251.20708860759501</v>
      </c>
      <c r="O25" s="293">
        <f t="shared" si="1"/>
        <v>7.7292133221696424E-2</v>
      </c>
      <c r="P25" s="420">
        <v>0.3</v>
      </c>
      <c r="Q25" s="282">
        <f t="shared" si="9"/>
        <v>0.7</v>
      </c>
      <c r="R25" s="291">
        <f t="shared" si="26"/>
        <v>75.362126582278506</v>
      </c>
      <c r="S25" s="293">
        <f t="shared" si="10"/>
        <v>0.20054254620848561</v>
      </c>
      <c r="T25" s="291">
        <f>($N25)*Q25</f>
        <v>175.84496202531651</v>
      </c>
      <c r="U25" s="293">
        <f t="shared" si="3"/>
        <v>6.0057618251859776E-2</v>
      </c>
      <c r="V25" s="422">
        <v>0</v>
      </c>
      <c r="W25" s="420">
        <v>0.55000000000000004</v>
      </c>
      <c r="X25" s="282">
        <f t="shared" si="11"/>
        <v>0.44999999999999996</v>
      </c>
      <c r="Y25" s="291">
        <f>(T25+$V25)*W25</f>
        <v>96.714729113924079</v>
      </c>
      <c r="Z25" s="293">
        <f t="shared" si="12"/>
        <v>0.18856943330611375</v>
      </c>
      <c r="AA25" s="291">
        <f>(T25+$V25)*X25</f>
        <v>79.130232911392426</v>
      </c>
      <c r="AB25" s="293">
        <f t="shared" si="4"/>
        <v>3.2416737703908134E-2</v>
      </c>
      <c r="AC25" s="420">
        <v>1</v>
      </c>
      <c r="AD25" s="282">
        <f t="shared" si="13"/>
        <v>0</v>
      </c>
      <c r="AE25" s="291">
        <f>(Y25)*AC25</f>
        <v>96.714729113924079</v>
      </c>
      <c r="AF25" s="293">
        <f t="shared" si="14"/>
        <v>0.9700643312552345</v>
      </c>
      <c r="AG25" s="291">
        <f>(Y25)*AD25</f>
        <v>0</v>
      </c>
      <c r="AH25" s="293">
        <f t="shared" si="6"/>
        <v>0</v>
      </c>
      <c r="AI25" s="192"/>
    </row>
    <row r="26" spans="1:35" s="88" customFormat="1" ht="21.3" thickBot="1" x14ac:dyDescent="0.4">
      <c r="A26" s="272" t="s">
        <v>190</v>
      </c>
      <c r="B26" s="295">
        <v>8.9</v>
      </c>
      <c r="C26" s="303">
        <f>C27+C30</f>
        <v>8900</v>
      </c>
      <c r="D26" s="299">
        <f>C26/C$10</f>
        <v>8.9</v>
      </c>
      <c r="E26" s="422">
        <v>0</v>
      </c>
      <c r="F26" s="154"/>
      <c r="G26" s="422">
        <v>0</v>
      </c>
      <c r="H26" s="291">
        <f>H27+H30</f>
        <v>8900</v>
      </c>
      <c r="I26" s="293">
        <f t="shared" si="7"/>
        <v>2.2027085890785254</v>
      </c>
      <c r="J26" s="419">
        <f t="shared" ref="J26:J27" si="27">(L26/H26)</f>
        <v>0.10905719903691814</v>
      </c>
      <c r="K26" s="282">
        <f t="shared" si="15"/>
        <v>0.89094280096308187</v>
      </c>
      <c r="L26" s="291">
        <f>L27+L30</f>
        <v>970.6090714285715</v>
      </c>
      <c r="M26" s="293">
        <f t="shared" si="0"/>
        <v>1.3174178229000864</v>
      </c>
      <c r="N26" s="291">
        <f>N27+N30</f>
        <v>7929.390928571429</v>
      </c>
      <c r="O26" s="293">
        <f t="shared" si="1"/>
        <v>2.4397382391363145</v>
      </c>
      <c r="P26" s="419">
        <f>(R26/(N26))</f>
        <v>0.14888414875820988</v>
      </c>
      <c r="Q26" s="282">
        <f t="shared" si="9"/>
        <v>0.85111585124179012</v>
      </c>
      <c r="R26" s="291">
        <f>R27+R30</f>
        <v>1180.5606185714287</v>
      </c>
      <c r="S26" s="293">
        <f t="shared" si="10"/>
        <v>3.1415333289898397</v>
      </c>
      <c r="T26" s="291">
        <f>T27+T30</f>
        <v>6748.8303099999994</v>
      </c>
      <c r="U26" s="293">
        <f t="shared" si="3"/>
        <v>2.3049774627390605</v>
      </c>
      <c r="V26" s="422">
        <v>0</v>
      </c>
      <c r="W26" s="419">
        <f>(Y26/(T26))</f>
        <v>0.83785740465594849</v>
      </c>
      <c r="X26" s="282">
        <f t="shared" si="11"/>
        <v>0.16214259534405151</v>
      </c>
      <c r="Y26" s="291">
        <f>Y27+Y30</f>
        <v>5654.5574479999996</v>
      </c>
      <c r="Z26" s="293">
        <f>Y26/Y$10</f>
        <v>11.024966965582001</v>
      </c>
      <c r="AA26" s="291">
        <f>AA27+AA30</f>
        <v>1094.2728619999998</v>
      </c>
      <c r="AB26" s="293">
        <f t="shared" si="4"/>
        <v>0.44828322928962117</v>
      </c>
      <c r="AC26" s="419">
        <f>(AE26/(Y26))</f>
        <v>1</v>
      </c>
      <c r="AD26" s="282">
        <f t="shared" si="13"/>
        <v>0</v>
      </c>
      <c r="AE26" s="291">
        <f>AE27+AE30</f>
        <v>5654.5574479999996</v>
      </c>
      <c r="AF26" s="293">
        <f t="shared" si="14"/>
        <v>56.71612317578942</v>
      </c>
      <c r="AG26" s="291">
        <f>AG27+AG30</f>
        <v>0</v>
      </c>
      <c r="AH26" s="293">
        <f t="shared" si="6"/>
        <v>0</v>
      </c>
      <c r="AI26" s="192"/>
    </row>
    <row r="27" spans="1:35" s="88" customFormat="1" ht="17.55" thickBot="1" x14ac:dyDescent="0.3">
      <c r="A27" s="273" t="s">
        <v>191</v>
      </c>
      <c r="B27" s="384">
        <f>B29/0.14</f>
        <v>1.5214285714285714</v>
      </c>
      <c r="C27" s="303">
        <f>C28+C29</f>
        <v>1521.4285714285713</v>
      </c>
      <c r="D27" s="296">
        <f>C27/C10</f>
        <v>1.5214285714285714</v>
      </c>
      <c r="E27" s="422">
        <v>0</v>
      </c>
      <c r="F27" s="155"/>
      <c r="G27" s="422">
        <v>0</v>
      </c>
      <c r="H27" s="291">
        <f>H28+H29</f>
        <v>4908.1928571428571</v>
      </c>
      <c r="I27" s="293">
        <f t="shared" si="7"/>
        <v>1.2147548947508358</v>
      </c>
      <c r="J27" s="419">
        <f t="shared" si="27"/>
        <v>6.0650297534588664E-2</v>
      </c>
      <c r="K27" s="282">
        <f t="shared" si="15"/>
        <v>0.93934970246541138</v>
      </c>
      <c r="L27" s="291">
        <f>L28+L29</f>
        <v>297.68335714285712</v>
      </c>
      <c r="M27" s="293">
        <f t="shared" si="0"/>
        <v>0.40404872757218224</v>
      </c>
      <c r="N27" s="291">
        <f>N28+N29</f>
        <v>4610.5095000000001</v>
      </c>
      <c r="O27" s="293">
        <f t="shared" si="1"/>
        <v>1.4185750747286949</v>
      </c>
      <c r="P27" s="419">
        <f>(R27/(N27))</f>
        <v>8.3569546923176266E-2</v>
      </c>
      <c r="Q27" s="282">
        <f t="shared" si="9"/>
        <v>0.91643045307682369</v>
      </c>
      <c r="R27" s="291">
        <f>R28+R29</f>
        <v>385.29818999999998</v>
      </c>
      <c r="S27" s="293">
        <f t="shared" si="10"/>
        <v>1.025298562770264</v>
      </c>
      <c r="T27" s="291">
        <f>T28+T29</f>
        <v>4225.2113099999997</v>
      </c>
      <c r="U27" s="293">
        <f t="shared" si="3"/>
        <v>1.4430673757539152</v>
      </c>
      <c r="V27" s="422">
        <v>0</v>
      </c>
      <c r="W27" s="419">
        <f>(Y27/(T27))</f>
        <v>0.8173416178799352</v>
      </c>
      <c r="X27" s="282">
        <f t="shared" si="11"/>
        <v>0.1826583821200648</v>
      </c>
      <c r="Y27" s="291">
        <f>Y28+Y29</f>
        <v>3453.4410480000001</v>
      </c>
      <c r="Z27" s="293">
        <f t="shared" si="12"/>
        <v>6.7333427632345613</v>
      </c>
      <c r="AA27" s="291">
        <f>AA28+AA29</f>
        <v>771.77026199999978</v>
      </c>
      <c r="AB27" s="293">
        <f t="shared" si="4"/>
        <v>0.31616580958311014</v>
      </c>
      <c r="AC27" s="419">
        <f>(AE27/(Y27))</f>
        <v>1</v>
      </c>
      <c r="AD27" s="282">
        <f t="shared" si="13"/>
        <v>0</v>
      </c>
      <c r="AE27" s="291">
        <f>AE28+AE29</f>
        <v>3453.4410480000001</v>
      </c>
      <c r="AF27" s="293">
        <f t="shared" si="14"/>
        <v>34.638570685663908</v>
      </c>
      <c r="AG27" s="291">
        <f>AG28+AG29</f>
        <v>0</v>
      </c>
      <c r="AH27" s="293">
        <f t="shared" si="6"/>
        <v>0</v>
      </c>
      <c r="AI27" s="192"/>
    </row>
    <row r="28" spans="1:35" s="88" customFormat="1" ht="17.55" thickBot="1" x14ac:dyDescent="0.3">
      <c r="A28" s="272" t="s">
        <v>192</v>
      </c>
      <c r="B28" s="385">
        <f>B27-B29</f>
        <v>1.3084285714285713</v>
      </c>
      <c r="C28" s="303">
        <f t="shared" ref="C28:C32" si="28">D28*C$10</f>
        <v>1308.4285714285713</v>
      </c>
      <c r="D28" s="296">
        <f>B28</f>
        <v>1.3084285714285713</v>
      </c>
      <c r="E28" s="422">
        <v>0</v>
      </c>
      <c r="F28" s="155"/>
      <c r="G28" s="422">
        <v>0</v>
      </c>
      <c r="H28" s="291">
        <f>C28+E28+G28</f>
        <v>1308.4285714285713</v>
      </c>
      <c r="I28" s="293">
        <f t="shared" si="7"/>
        <v>0.32382998342488301</v>
      </c>
      <c r="J28" s="420">
        <v>0.2</v>
      </c>
      <c r="K28" s="282">
        <f t="shared" si="15"/>
        <v>0.8</v>
      </c>
      <c r="L28" s="291">
        <f t="shared" ref="L28:L29" si="29">($H28)*J28</f>
        <v>261.68571428571425</v>
      </c>
      <c r="M28" s="293">
        <f t="shared" si="0"/>
        <v>0.35518875121466476</v>
      </c>
      <c r="N28" s="291">
        <f>($H28)*K28</f>
        <v>1046.742857142857</v>
      </c>
      <c r="O28" s="293">
        <f t="shared" si="1"/>
        <v>0.32206490991790737</v>
      </c>
      <c r="P28" s="420">
        <v>0.3</v>
      </c>
      <c r="Q28" s="282">
        <f t="shared" si="9"/>
        <v>0.7</v>
      </c>
      <c r="R28" s="291">
        <f>($N28)*P28</f>
        <v>314.02285714285711</v>
      </c>
      <c r="S28" s="293">
        <f t="shared" si="10"/>
        <v>0.83563118764088495</v>
      </c>
      <c r="T28" s="291">
        <f>($N28)*Q28</f>
        <v>732.71999999999991</v>
      </c>
      <c r="U28" s="293">
        <f t="shared" si="3"/>
        <v>0.25025123005325117</v>
      </c>
      <c r="V28" s="422">
        <v>0</v>
      </c>
      <c r="W28" s="420">
        <v>0.9</v>
      </c>
      <c r="X28" s="282">
        <f t="shared" si="11"/>
        <v>9.9999999999999978E-2</v>
      </c>
      <c r="Y28" s="291">
        <f>(T28+$V28)*W28</f>
        <v>659.44799999999998</v>
      </c>
      <c r="Z28" s="293">
        <f t="shared" si="12"/>
        <v>1.2857579894410014</v>
      </c>
      <c r="AA28" s="291">
        <f>(T28+$V28)*X28</f>
        <v>73.271999999999977</v>
      </c>
      <c r="AB28" s="293">
        <f t="shared" si="4"/>
        <v>3.001683576112401E-2</v>
      </c>
      <c r="AC28" s="420">
        <v>1</v>
      </c>
      <c r="AD28" s="282">
        <f t="shared" si="13"/>
        <v>0</v>
      </c>
      <c r="AE28" s="291">
        <f>(Y28)*AC28</f>
        <v>659.44799999999998</v>
      </c>
      <c r="AF28" s="293">
        <f t="shared" si="14"/>
        <v>6.614369796394362</v>
      </c>
      <c r="AG28" s="291">
        <f>(Y28)*AD28</f>
        <v>0</v>
      </c>
      <c r="AH28" s="293">
        <f t="shared" si="6"/>
        <v>0</v>
      </c>
      <c r="AI28" s="192"/>
    </row>
    <row r="29" spans="1:35" s="88" customFormat="1" ht="17.55" thickBot="1" x14ac:dyDescent="0.3">
      <c r="A29" s="273" t="s">
        <v>193</v>
      </c>
      <c r="B29" s="385">
        <v>0.21299999999999999</v>
      </c>
      <c r="C29" s="302">
        <f t="shared" si="28"/>
        <v>213</v>
      </c>
      <c r="D29" s="298">
        <f>B29</f>
        <v>0.21299999999999999</v>
      </c>
      <c r="E29" s="422">
        <v>0</v>
      </c>
      <c r="F29" s="155"/>
      <c r="G29" s="422">
        <v>0</v>
      </c>
      <c r="H29" s="439">
        <f>(C29+E29+G29)+((C31+E31+G31)*$I$7)</f>
        <v>3599.764285714286</v>
      </c>
      <c r="I29" s="294">
        <f t="shared" si="7"/>
        <v>0.89092491132595286</v>
      </c>
      <c r="J29" s="420">
        <v>0.01</v>
      </c>
      <c r="K29" s="282">
        <f t="shared" si="15"/>
        <v>0.99</v>
      </c>
      <c r="L29" s="291">
        <f t="shared" si="29"/>
        <v>35.997642857142857</v>
      </c>
      <c r="M29" s="294">
        <f t="shared" si="0"/>
        <v>4.8859976357517466E-2</v>
      </c>
      <c r="N29" s="291">
        <f>($H29)*K29</f>
        <v>3563.7666428571429</v>
      </c>
      <c r="O29" s="294">
        <f t="shared" si="1"/>
        <v>1.0965101648107876</v>
      </c>
      <c r="P29" s="420">
        <v>0.02</v>
      </c>
      <c r="Q29" s="282">
        <f t="shared" si="9"/>
        <v>0.98</v>
      </c>
      <c r="R29" s="291">
        <f>($N29)*P29</f>
        <v>71.275332857142857</v>
      </c>
      <c r="S29" s="294">
        <f t="shared" si="10"/>
        <v>0.18966737512937903</v>
      </c>
      <c r="T29" s="291">
        <f>($N29)*Q29</f>
        <v>3492.4913099999999</v>
      </c>
      <c r="U29" s="294">
        <f t="shared" si="3"/>
        <v>1.1928161457006641</v>
      </c>
      <c r="V29" s="422">
        <v>0</v>
      </c>
      <c r="W29" s="420">
        <v>0.8</v>
      </c>
      <c r="X29" s="282">
        <f t="shared" si="11"/>
        <v>0.19999999999999996</v>
      </c>
      <c r="Y29" s="291">
        <f>(T29+$V29)*W29</f>
        <v>2793.9930480000003</v>
      </c>
      <c r="Z29" s="294">
        <f t="shared" si="12"/>
        <v>5.4475847737935599</v>
      </c>
      <c r="AA29" s="291">
        <f>(T29+$V29)*X29</f>
        <v>698.49826199999984</v>
      </c>
      <c r="AB29" s="294">
        <f t="shared" si="4"/>
        <v>0.28614897382198617</v>
      </c>
      <c r="AC29" s="420">
        <v>1</v>
      </c>
      <c r="AD29" s="282">
        <f t="shared" si="13"/>
        <v>0</v>
      </c>
      <c r="AE29" s="291">
        <f>(Y29)*AC29</f>
        <v>2793.9930480000003</v>
      </c>
      <c r="AF29" s="294">
        <f t="shared" si="14"/>
        <v>28.024200889269547</v>
      </c>
      <c r="AG29" s="291">
        <f>(Y29)*AD29</f>
        <v>0</v>
      </c>
      <c r="AH29" s="294">
        <f t="shared" si="6"/>
        <v>0</v>
      </c>
      <c r="AI29" s="192"/>
    </row>
    <row r="30" spans="1:35" s="88" customFormat="1" ht="17.55" thickBot="1" x14ac:dyDescent="0.3">
      <c r="A30" s="272" t="s">
        <v>194</v>
      </c>
      <c r="B30" s="385">
        <f>B26-B27</f>
        <v>7.378571428571429</v>
      </c>
      <c r="C30" s="303">
        <f>C31+C32</f>
        <v>7378.5714285714294</v>
      </c>
      <c r="D30" s="296">
        <f>C30/C10</f>
        <v>7.378571428571429</v>
      </c>
      <c r="E30" s="422">
        <v>0</v>
      </c>
      <c r="F30" s="154"/>
      <c r="G30" s="422">
        <v>0</v>
      </c>
      <c r="H30" s="291">
        <f>H31+H32</f>
        <v>3991.8071428571434</v>
      </c>
      <c r="I30" s="293">
        <f t="shared" si="7"/>
        <v>0.98795369432768965</v>
      </c>
      <c r="J30" s="419">
        <f>(L30/H30)</f>
        <v>0.1685767097966728</v>
      </c>
      <c r="K30" s="282">
        <f t="shared" si="15"/>
        <v>0.83142329020332717</v>
      </c>
      <c r="L30" s="291">
        <f>L31+L32</f>
        <v>672.92571428571432</v>
      </c>
      <c r="M30" s="293">
        <f t="shared" si="0"/>
        <v>0.91336909532790389</v>
      </c>
      <c r="N30" s="291">
        <f>N31+N32</f>
        <v>3318.8814285714288</v>
      </c>
      <c r="O30" s="293">
        <f t="shared" si="1"/>
        <v>1.0211631644076198</v>
      </c>
      <c r="P30" s="419">
        <f>(R30/(N30))</f>
        <v>0.23961760782570032</v>
      </c>
      <c r="Q30" s="282">
        <f t="shared" si="9"/>
        <v>0.7603823921742997</v>
      </c>
      <c r="R30" s="291">
        <f>R31+R32</f>
        <v>795.2624285714287</v>
      </c>
      <c r="S30" s="293">
        <f t="shared" si="10"/>
        <v>2.1162347662195757</v>
      </c>
      <c r="T30" s="291">
        <f>T31+T32</f>
        <v>2523.6190000000001</v>
      </c>
      <c r="U30" s="293">
        <f t="shared" si="3"/>
        <v>0.86191008698514537</v>
      </c>
      <c r="V30" s="422">
        <v>0</v>
      </c>
      <c r="W30" s="419">
        <f>(Y30/(T30))</f>
        <v>0.87220630372492824</v>
      </c>
      <c r="X30" s="282">
        <f t="shared" si="11"/>
        <v>0.12779369627507176</v>
      </c>
      <c r="Y30" s="291">
        <f>Y31+Y32</f>
        <v>2201.1163999999999</v>
      </c>
      <c r="Z30" s="293">
        <f t="shared" si="12"/>
        <v>4.2916242023474407</v>
      </c>
      <c r="AA30" s="291">
        <f>AA31+AA32</f>
        <v>322.50259999999992</v>
      </c>
      <c r="AB30" s="293">
        <f t="shared" si="4"/>
        <v>0.13211741970651097</v>
      </c>
      <c r="AC30" s="419">
        <f>(AE30/(Y30))</f>
        <v>1</v>
      </c>
      <c r="AD30" s="282">
        <f t="shared" si="13"/>
        <v>0</v>
      </c>
      <c r="AE30" s="291">
        <f>AE31+AE32</f>
        <v>2201.1163999999999</v>
      </c>
      <c r="AF30" s="293">
        <f t="shared" si="14"/>
        <v>22.077552490125516</v>
      </c>
      <c r="AG30" s="291">
        <f>AG31+AG32</f>
        <v>0</v>
      </c>
      <c r="AH30" s="293">
        <f t="shared" si="6"/>
        <v>0</v>
      </c>
      <c r="AI30" s="192"/>
    </row>
    <row r="31" spans="1:35" s="88" customFormat="1" ht="17.55" thickBot="1" x14ac:dyDescent="0.3">
      <c r="A31" s="273" t="s">
        <v>195</v>
      </c>
      <c r="B31" s="385">
        <f>B30*0.9</f>
        <v>6.640714285714286</v>
      </c>
      <c r="C31" s="302">
        <f t="shared" si="28"/>
        <v>6640.7142857142862</v>
      </c>
      <c r="D31" s="298">
        <f>B31</f>
        <v>6.640714285714286</v>
      </c>
      <c r="E31" s="422">
        <v>0</v>
      </c>
      <c r="F31" s="155"/>
      <c r="G31" s="422">
        <v>0</v>
      </c>
      <c r="H31" s="439">
        <f>(C31+E31+G31)-((C31+E31+G31)*$I$7)</f>
        <v>3253.9500000000003</v>
      </c>
      <c r="I31" s="293">
        <f t="shared" si="7"/>
        <v>0.80533748465528854</v>
      </c>
      <c r="J31" s="420">
        <v>0.2</v>
      </c>
      <c r="K31" s="282">
        <f t="shared" si="15"/>
        <v>0.8</v>
      </c>
      <c r="L31" s="291">
        <f t="shared" ref="L31:L32" si="30">($H31)*J31</f>
        <v>650.79000000000008</v>
      </c>
      <c r="M31" s="293">
        <f t="shared" si="0"/>
        <v>0.88332405929738089</v>
      </c>
      <c r="N31" s="291">
        <f>($H31)*K31</f>
        <v>2603.1600000000003</v>
      </c>
      <c r="O31" s="293">
        <f t="shared" si="1"/>
        <v>0.80094789773901343</v>
      </c>
      <c r="P31" s="420">
        <v>0.3</v>
      </c>
      <c r="Q31" s="282">
        <f t="shared" si="9"/>
        <v>0.7</v>
      </c>
      <c r="R31" s="291">
        <f t="shared" ref="R31:R32" si="31">($N31)*P31</f>
        <v>780.94800000000009</v>
      </c>
      <c r="S31" s="293">
        <f t="shared" si="10"/>
        <v>2.078143325818147</v>
      </c>
      <c r="T31" s="291">
        <f>($N31)*Q31</f>
        <v>1822.212</v>
      </c>
      <c r="U31" s="293">
        <f t="shared" si="3"/>
        <v>0.62235341524428833</v>
      </c>
      <c r="V31" s="422">
        <v>0</v>
      </c>
      <c r="W31" s="420">
        <v>0.9</v>
      </c>
      <c r="X31" s="282">
        <f t="shared" si="11"/>
        <v>9.9999999999999978E-2</v>
      </c>
      <c r="Y31" s="291">
        <f>(T31+$V31)*W31</f>
        <v>1639.9908</v>
      </c>
      <c r="Z31" s="293">
        <f t="shared" si="12"/>
        <v>3.1975702006977644</v>
      </c>
      <c r="AA31" s="291">
        <f>(T31+$V31)*X31</f>
        <v>182.22119999999995</v>
      </c>
      <c r="AB31" s="293">
        <f t="shared" si="4"/>
        <v>7.4649304408163156E-2</v>
      </c>
      <c r="AC31" s="420">
        <v>1</v>
      </c>
      <c r="AD31" s="282">
        <f t="shared" si="13"/>
        <v>0</v>
      </c>
      <c r="AE31" s="291">
        <f>(Y31)*AC31</f>
        <v>1639.9908</v>
      </c>
      <c r="AF31" s="293">
        <f t="shared" si="14"/>
        <v>16.449372223260404</v>
      </c>
      <c r="AG31" s="291">
        <f>(Y31)*AD31</f>
        <v>0</v>
      </c>
      <c r="AH31" s="293">
        <f t="shared" si="6"/>
        <v>0</v>
      </c>
      <c r="AI31" s="192"/>
    </row>
    <row r="32" spans="1:35" s="88" customFormat="1" ht="17.55" thickBot="1" x14ac:dyDescent="0.3">
      <c r="A32" s="272" t="s">
        <v>196</v>
      </c>
      <c r="B32" s="385">
        <f>B30*0.1</f>
        <v>0.73785714285714299</v>
      </c>
      <c r="C32" s="302">
        <f t="shared" si="28"/>
        <v>737.857142857143</v>
      </c>
      <c r="D32" s="298">
        <f>B32</f>
        <v>0.73785714285714299</v>
      </c>
      <c r="E32" s="422">
        <v>0</v>
      </c>
      <c r="F32" s="155"/>
      <c r="G32" s="422">
        <v>0</v>
      </c>
      <c r="H32" s="291">
        <f>C32+E32+G32</f>
        <v>737.857142857143</v>
      </c>
      <c r="I32" s="293">
        <f t="shared" si="7"/>
        <v>0.18261620967240105</v>
      </c>
      <c r="J32" s="420">
        <v>0.03</v>
      </c>
      <c r="K32" s="282">
        <f t="shared" si="15"/>
        <v>0.97</v>
      </c>
      <c r="L32" s="291">
        <f t="shared" si="30"/>
        <v>22.13571428571429</v>
      </c>
      <c r="M32" s="293">
        <f t="shared" si="0"/>
        <v>3.0045036030523161E-2</v>
      </c>
      <c r="N32" s="291">
        <f>($H32)*K32</f>
        <v>715.72142857142865</v>
      </c>
      <c r="O32" s="293">
        <f t="shared" si="1"/>
        <v>0.2202152666686063</v>
      </c>
      <c r="P32" s="420">
        <v>0.02</v>
      </c>
      <c r="Q32" s="282">
        <f t="shared" si="9"/>
        <v>0.98</v>
      </c>
      <c r="R32" s="291">
        <f t="shared" si="31"/>
        <v>14.314428571428573</v>
      </c>
      <c r="S32" s="293">
        <f t="shared" si="10"/>
        <v>3.8091440401428624E-2</v>
      </c>
      <c r="T32" s="291">
        <f>($N32)*Q32</f>
        <v>701.40700000000004</v>
      </c>
      <c r="U32" s="293">
        <f t="shared" si="3"/>
        <v>0.23955667174085701</v>
      </c>
      <c r="V32" s="422">
        <v>0</v>
      </c>
      <c r="W32" s="420">
        <v>0.8</v>
      </c>
      <c r="X32" s="282">
        <f t="shared" si="11"/>
        <v>0.19999999999999996</v>
      </c>
      <c r="Y32" s="291">
        <f>(T32+$V32)*W32</f>
        <v>561.12560000000008</v>
      </c>
      <c r="Z32" s="293">
        <f t="shared" si="12"/>
        <v>1.0940540016496763</v>
      </c>
      <c r="AA32" s="291">
        <f>(T32+$V32)*X32</f>
        <v>140.28139999999999</v>
      </c>
      <c r="AB32" s="293">
        <f t="shared" si="4"/>
        <v>5.746811529834784E-2</v>
      </c>
      <c r="AC32" s="420">
        <v>1</v>
      </c>
      <c r="AD32" s="282">
        <f t="shared" si="13"/>
        <v>0</v>
      </c>
      <c r="AE32" s="291">
        <f>(Y32)*AC32</f>
        <v>561.12560000000008</v>
      </c>
      <c r="AF32" s="293">
        <f t="shared" si="14"/>
        <v>5.6281802668651126</v>
      </c>
      <c r="AG32" s="291">
        <f>(Y32)*AD32</f>
        <v>0</v>
      </c>
      <c r="AH32" s="293">
        <f t="shared" si="6"/>
        <v>0</v>
      </c>
      <c r="AI32" s="192"/>
    </row>
    <row r="33" spans="1:37" s="88" customFormat="1" ht="21.3" thickBot="1" x14ac:dyDescent="0.4">
      <c r="A33" s="273" t="s">
        <v>197</v>
      </c>
      <c r="B33" s="295">
        <v>4.5999999999999996</v>
      </c>
      <c r="C33" s="303">
        <f>C34</f>
        <v>4600</v>
      </c>
      <c r="D33" s="299">
        <f>C33/C$10</f>
        <v>4.5999999999999996</v>
      </c>
      <c r="E33" s="422">
        <v>0</v>
      </c>
      <c r="F33" s="154"/>
      <c r="G33" s="422">
        <v>0</v>
      </c>
      <c r="H33" s="291">
        <f>H34</f>
        <v>4600</v>
      </c>
      <c r="I33" s="293">
        <f t="shared" si="7"/>
        <v>1.1384785966023838</v>
      </c>
      <c r="J33" s="419">
        <f t="shared" ref="J33:J34" si="32">(L33/H33)</f>
        <v>0.24640000000000001</v>
      </c>
      <c r="K33" s="282">
        <f t="shared" si="15"/>
        <v>0.75360000000000005</v>
      </c>
      <c r="L33" s="291">
        <f>L34</f>
        <v>1133.44</v>
      </c>
      <c r="M33" s="293">
        <f t="shared" si="0"/>
        <v>1.538429941717026</v>
      </c>
      <c r="N33" s="291">
        <f>N34</f>
        <v>3466.5599999999995</v>
      </c>
      <c r="O33" s="293">
        <f t="shared" si="1"/>
        <v>1.0666013400582959</v>
      </c>
      <c r="P33" s="419">
        <f>(R33/(N33))</f>
        <v>0.29151804670912956</v>
      </c>
      <c r="Q33" s="282">
        <f t="shared" si="9"/>
        <v>0.70848195329087038</v>
      </c>
      <c r="R33" s="291">
        <f>R34</f>
        <v>1010.5648</v>
      </c>
      <c r="S33" s="293">
        <f t="shared" si="10"/>
        <v>2.6891655967193082</v>
      </c>
      <c r="T33" s="291">
        <f>T34</f>
        <v>2455.9951999999994</v>
      </c>
      <c r="U33" s="293">
        <f t="shared" si="3"/>
        <v>0.83881403510874619</v>
      </c>
      <c r="V33" s="422">
        <v>0</v>
      </c>
      <c r="W33" s="419">
        <f>(Y33/(T33))</f>
        <v>0.40131107748093325</v>
      </c>
      <c r="X33" s="282">
        <f t="shared" si="11"/>
        <v>0.5986889225190668</v>
      </c>
      <c r="Y33" s="291">
        <f>Y34</f>
        <v>985.61807999999985</v>
      </c>
      <c r="Z33" s="293">
        <f t="shared" si="12"/>
        <v>1.921707732675662</v>
      </c>
      <c r="AA33" s="291">
        <f>AA34</f>
        <v>1470.3771199999996</v>
      </c>
      <c r="AB33" s="293">
        <f t="shared" si="4"/>
        <v>0.60235927118073118</v>
      </c>
      <c r="AC33" s="419">
        <f>(AE33/(Y33))</f>
        <v>1</v>
      </c>
      <c r="AD33" s="282">
        <f t="shared" si="13"/>
        <v>0</v>
      </c>
      <c r="AE33" s="291">
        <f>AE34</f>
        <v>985.61807999999985</v>
      </c>
      <c r="AF33" s="293">
        <f t="shared" si="14"/>
        <v>9.885908303811977</v>
      </c>
      <c r="AG33" s="291">
        <f>AG34</f>
        <v>0</v>
      </c>
      <c r="AH33" s="293">
        <f t="shared" si="6"/>
        <v>0</v>
      </c>
      <c r="AI33" s="192"/>
    </row>
    <row r="34" spans="1:37" s="88" customFormat="1" ht="17.55" thickBot="1" x14ac:dyDescent="0.3">
      <c r="A34" s="272" t="s">
        <v>198</v>
      </c>
      <c r="B34" s="265">
        <f>B33</f>
        <v>4.5999999999999996</v>
      </c>
      <c r="C34" s="303">
        <f>C35+C36</f>
        <v>4600</v>
      </c>
      <c r="D34" s="296">
        <f>C34/C$10</f>
        <v>4.5999999999999996</v>
      </c>
      <c r="E34" s="422">
        <v>0</v>
      </c>
      <c r="F34" s="155"/>
      <c r="G34" s="422">
        <v>0</v>
      </c>
      <c r="H34" s="291">
        <f>H35+H36</f>
        <v>4600</v>
      </c>
      <c r="I34" s="293">
        <f t="shared" si="7"/>
        <v>1.1384785966023838</v>
      </c>
      <c r="J34" s="419">
        <f t="shared" si="32"/>
        <v>0.24640000000000001</v>
      </c>
      <c r="K34" s="282">
        <f t="shared" si="15"/>
        <v>0.75360000000000005</v>
      </c>
      <c r="L34" s="291">
        <f>L35+L36</f>
        <v>1133.44</v>
      </c>
      <c r="M34" s="293">
        <f t="shared" si="0"/>
        <v>1.538429941717026</v>
      </c>
      <c r="N34" s="291">
        <f>N35+N36</f>
        <v>3466.5599999999995</v>
      </c>
      <c r="O34" s="293">
        <f t="shared" si="1"/>
        <v>1.0666013400582959</v>
      </c>
      <c r="P34" s="419">
        <f>(R34/(N34))</f>
        <v>0.29151804670912956</v>
      </c>
      <c r="Q34" s="282">
        <f t="shared" si="9"/>
        <v>0.70848195329087038</v>
      </c>
      <c r="R34" s="291">
        <f>R35+R36</f>
        <v>1010.5648</v>
      </c>
      <c r="S34" s="293">
        <f t="shared" si="10"/>
        <v>2.6891655967193082</v>
      </c>
      <c r="T34" s="291">
        <f>T35+T36</f>
        <v>2455.9951999999994</v>
      </c>
      <c r="U34" s="293">
        <f t="shared" si="3"/>
        <v>0.83881403510874619</v>
      </c>
      <c r="V34" s="422">
        <v>0</v>
      </c>
      <c r="W34" s="419">
        <f>(Y34/(T34))</f>
        <v>0.40131107748093325</v>
      </c>
      <c r="X34" s="282">
        <f t="shared" si="11"/>
        <v>0.5986889225190668</v>
      </c>
      <c r="Y34" s="291">
        <f>Y35+Y36</f>
        <v>985.61807999999985</v>
      </c>
      <c r="Z34" s="293">
        <f t="shared" si="12"/>
        <v>1.921707732675662</v>
      </c>
      <c r="AA34" s="291">
        <f>AA35+AA36</f>
        <v>1470.3771199999996</v>
      </c>
      <c r="AB34" s="293">
        <f t="shared" si="4"/>
        <v>0.60235927118073118</v>
      </c>
      <c r="AC34" s="419">
        <f>(AE34/(Y34))</f>
        <v>1</v>
      </c>
      <c r="AD34" s="282">
        <f t="shared" si="13"/>
        <v>0</v>
      </c>
      <c r="AE34" s="291">
        <f>AE35+AE36</f>
        <v>985.61807999999985</v>
      </c>
      <c r="AF34" s="293">
        <f t="shared" si="14"/>
        <v>9.885908303811977</v>
      </c>
      <c r="AG34" s="291">
        <f>AG35+AG36</f>
        <v>0</v>
      </c>
      <c r="AH34" s="293">
        <f t="shared" si="6"/>
        <v>0</v>
      </c>
      <c r="AI34" s="192"/>
    </row>
    <row r="35" spans="1:37" s="88" customFormat="1" ht="17.55" thickBot="1" x14ac:dyDescent="0.3">
      <c r="A35" s="273" t="s">
        <v>199</v>
      </c>
      <c r="B35" s="266">
        <f>0.14*B34</f>
        <v>0.64400000000000002</v>
      </c>
      <c r="C35" s="303">
        <f t="shared" ref="C35:C36" si="33">D35*C$10</f>
        <v>644</v>
      </c>
      <c r="D35" s="296">
        <f>B35</f>
        <v>0.64400000000000002</v>
      </c>
      <c r="E35" s="422">
        <v>0</v>
      </c>
      <c r="F35" s="155"/>
      <c r="G35" s="422">
        <v>0</v>
      </c>
      <c r="H35" s="291">
        <f>C35+E35+G35</f>
        <v>644</v>
      </c>
      <c r="I35" s="293">
        <f t="shared" si="7"/>
        <v>0.15938700352433374</v>
      </c>
      <c r="J35" s="420">
        <v>0.9</v>
      </c>
      <c r="K35" s="282">
        <f t="shared" si="15"/>
        <v>9.9999999999999978E-2</v>
      </c>
      <c r="L35" s="291">
        <f>($H35)*J35</f>
        <v>579.6</v>
      </c>
      <c r="M35" s="293">
        <f t="shared" si="0"/>
        <v>0.78669712928711555</v>
      </c>
      <c r="N35" s="291">
        <f>($H35)*K35</f>
        <v>64.399999999999991</v>
      </c>
      <c r="O35" s="293">
        <f t="shared" si="1"/>
        <v>1.9814780733567069E-2</v>
      </c>
      <c r="P35" s="420">
        <v>0.9</v>
      </c>
      <c r="Q35" s="282">
        <f t="shared" si="9"/>
        <v>9.9999999999999978E-2</v>
      </c>
      <c r="R35" s="291">
        <f t="shared" ref="R35:R36" si="34">($N35)*P35</f>
        <v>57.959999999999994</v>
      </c>
      <c r="S35" s="293">
        <f t="shared" si="10"/>
        <v>0.1542345804898915</v>
      </c>
      <c r="T35" s="291">
        <f>($N35)*Q35</f>
        <v>6.4399999999999977</v>
      </c>
      <c r="U35" s="293">
        <f t="shared" si="3"/>
        <v>2.1995003842435541E-3</v>
      </c>
      <c r="V35" s="422">
        <v>0</v>
      </c>
      <c r="W35" s="420">
        <v>0.9</v>
      </c>
      <c r="X35" s="282">
        <f t="shared" si="11"/>
        <v>9.9999999999999978E-2</v>
      </c>
      <c r="Y35" s="291">
        <f>(T35+$V35)*W35</f>
        <v>5.7959999999999985</v>
      </c>
      <c r="Z35" s="293">
        <f t="shared" si="12"/>
        <v>1.1300744420788359E-2</v>
      </c>
      <c r="AA35" s="291">
        <f>(T35+$V35)*X35</f>
        <v>0.64399999999999968</v>
      </c>
      <c r="AB35" s="293">
        <f t="shared" si="4"/>
        <v>2.6382304604983977E-4</v>
      </c>
      <c r="AC35" s="420">
        <v>1</v>
      </c>
      <c r="AD35" s="282">
        <f t="shared" si="13"/>
        <v>0</v>
      </c>
      <c r="AE35" s="291">
        <f>(Y35)*AC35</f>
        <v>5.7959999999999985</v>
      </c>
      <c r="AF35" s="293">
        <f t="shared" si="14"/>
        <v>5.8134814784337373E-2</v>
      </c>
      <c r="AG35" s="291">
        <f>(Y35)*AD35</f>
        <v>0</v>
      </c>
      <c r="AH35" s="293">
        <f t="shared" si="6"/>
        <v>0</v>
      </c>
      <c r="AI35" s="192"/>
    </row>
    <row r="36" spans="1:37" s="88" customFormat="1" ht="18.2" thickBot="1" x14ac:dyDescent="0.35">
      <c r="A36" s="272" t="s">
        <v>200</v>
      </c>
      <c r="B36" s="266">
        <f>0.86*B34</f>
        <v>3.9559999999999995</v>
      </c>
      <c r="C36" s="302">
        <f t="shared" si="33"/>
        <v>3955.9999999999995</v>
      </c>
      <c r="D36" s="298">
        <f>B36</f>
        <v>3.9559999999999995</v>
      </c>
      <c r="E36" s="423">
        <v>0</v>
      </c>
      <c r="F36" s="155"/>
      <c r="G36" s="423">
        <v>0</v>
      </c>
      <c r="H36" s="291">
        <f>C36+E36+G36</f>
        <v>3955.9999999999995</v>
      </c>
      <c r="I36" s="293">
        <f t="shared" si="7"/>
        <v>0.97909159307805005</v>
      </c>
      <c r="J36" s="420">
        <v>0.14000000000000001</v>
      </c>
      <c r="K36" s="282">
        <f t="shared" si="15"/>
        <v>0.86</v>
      </c>
      <c r="L36" s="291">
        <f t="shared" ref="L36" si="35">($H36)*J36</f>
        <v>553.84</v>
      </c>
      <c r="M36" s="293">
        <f t="shared" si="0"/>
        <v>0.75173281242991041</v>
      </c>
      <c r="N36" s="291">
        <f>($H36)*K36</f>
        <v>3402.1599999999994</v>
      </c>
      <c r="O36" s="293">
        <f t="shared" si="1"/>
        <v>1.0467865593247287</v>
      </c>
      <c r="P36" s="420">
        <v>0.28000000000000003</v>
      </c>
      <c r="Q36" s="282">
        <f t="shared" si="9"/>
        <v>0.72</v>
      </c>
      <c r="R36" s="291">
        <f t="shared" si="34"/>
        <v>952.60479999999995</v>
      </c>
      <c r="S36" s="293">
        <f t="shared" si="10"/>
        <v>2.5349310162294167</v>
      </c>
      <c r="T36" s="291">
        <f>($N36)*Q36</f>
        <v>2449.5551999999993</v>
      </c>
      <c r="U36" s="293">
        <f t="shared" si="3"/>
        <v>0.83661453472450253</v>
      </c>
      <c r="V36" s="423">
        <v>0</v>
      </c>
      <c r="W36" s="420">
        <v>0.4</v>
      </c>
      <c r="X36" s="282">
        <f t="shared" si="11"/>
        <v>0.6</v>
      </c>
      <c r="Y36" s="291">
        <f>(T36+$V36)*W36</f>
        <v>979.8220799999998</v>
      </c>
      <c r="Z36" s="293">
        <f t="shared" si="12"/>
        <v>1.9104069882548733</v>
      </c>
      <c r="AA36" s="291">
        <f>(T36+$V36)*X36</f>
        <v>1469.7331199999996</v>
      </c>
      <c r="AB36" s="293">
        <f t="shared" si="4"/>
        <v>0.6020954481346813</v>
      </c>
      <c r="AC36" s="420">
        <v>1</v>
      </c>
      <c r="AD36" s="282">
        <f t="shared" si="13"/>
        <v>0</v>
      </c>
      <c r="AE36" s="291">
        <f>(Y36)*AC36</f>
        <v>979.8220799999998</v>
      </c>
      <c r="AF36" s="293">
        <f t="shared" si="14"/>
        <v>9.8277734890276403</v>
      </c>
      <c r="AG36" s="291">
        <f>(Y36)*AD36</f>
        <v>0</v>
      </c>
      <c r="AH36" s="293">
        <f t="shared" si="6"/>
        <v>0</v>
      </c>
      <c r="AI36" s="192"/>
      <c r="AK36" s="101"/>
    </row>
    <row r="37" spans="1:37" s="88" customFormat="1" ht="15.05" x14ac:dyDescent="0.3">
      <c r="C37" s="92"/>
      <c r="D37" s="92"/>
      <c r="G37" s="155"/>
      <c r="H37" s="155"/>
      <c r="I37" s="155"/>
      <c r="J37" s="155"/>
      <c r="K37" s="155"/>
      <c r="L37" s="155"/>
      <c r="M37" s="155"/>
      <c r="P37" s="89"/>
      <c r="Q37" s="90"/>
      <c r="V37" s="101"/>
      <c r="W37" s="89"/>
      <c r="X37" s="90"/>
      <c r="AC37" s="89"/>
      <c r="AD37" s="90"/>
      <c r="AI37" s="192"/>
      <c r="AK37" s="103"/>
    </row>
    <row r="38" spans="1:37" s="365" customFormat="1" ht="15.65" thickBot="1" x14ac:dyDescent="0.35">
      <c r="C38" s="453"/>
      <c r="D38" s="453"/>
      <c r="G38" s="454"/>
      <c r="H38" s="454"/>
      <c r="I38" s="454"/>
      <c r="J38" s="454"/>
      <c r="K38" s="454"/>
      <c r="L38" s="454"/>
      <c r="M38" s="454"/>
      <c r="P38" s="455"/>
      <c r="Q38" s="323"/>
      <c r="V38" s="456"/>
      <c r="W38" s="455"/>
      <c r="X38" s="323"/>
      <c r="AC38" s="455"/>
      <c r="AD38" s="323"/>
      <c r="AI38" s="304"/>
      <c r="AK38" s="457"/>
    </row>
    <row r="39" spans="1:37" s="88" customFormat="1" ht="15.05" x14ac:dyDescent="0.3">
      <c r="C39" s="92"/>
      <c r="D39" s="92"/>
      <c r="G39" s="155"/>
      <c r="H39" s="155"/>
      <c r="I39" s="155"/>
      <c r="M39" s="101"/>
      <c r="O39" s="101"/>
      <c r="S39" s="101"/>
      <c r="U39" s="101"/>
      <c r="Z39" s="101"/>
      <c r="AB39" s="101"/>
      <c r="AF39" s="101"/>
      <c r="AH39" s="101"/>
      <c r="AI39" s="192"/>
    </row>
    <row r="40" spans="1:37" x14ac:dyDescent="0.25">
      <c r="A40" s="329"/>
    </row>
  </sheetData>
  <mergeCells count="23">
    <mergeCell ref="C1:D1"/>
    <mergeCell ref="H1:I1"/>
    <mergeCell ref="N9:O9"/>
    <mergeCell ref="I8:I9"/>
    <mergeCell ref="J1:K1"/>
    <mergeCell ref="L1:M1"/>
    <mergeCell ref="N1:O1"/>
    <mergeCell ref="F7:F9"/>
    <mergeCell ref="G4:H4"/>
    <mergeCell ref="E4:F4"/>
    <mergeCell ref="E2:G2"/>
    <mergeCell ref="AA1:AB1"/>
    <mergeCell ref="AC1:AD1"/>
    <mergeCell ref="AE1:AF1"/>
    <mergeCell ref="AG1:AH1"/>
    <mergeCell ref="E6:F6"/>
    <mergeCell ref="W1:X1"/>
    <mergeCell ref="V1:V2"/>
    <mergeCell ref="V4:W4"/>
    <mergeCell ref="Y1:Z1"/>
    <mergeCell ref="P1:Q1"/>
    <mergeCell ref="R1:S1"/>
    <mergeCell ref="T1:U1"/>
  </mergeCells>
  <pageMargins left="0.7" right="0.7" top="0.75" bottom="0.75" header="0.3" footer="0.3"/>
  <pageSetup paperSize="9"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9DB04-5A37-4125-9279-03C791196FF2}">
  <dimension ref="A1:M75"/>
  <sheetViews>
    <sheetView zoomScale="60" zoomScaleNormal="60" workbookViewId="0">
      <pane xSplit="1" ySplit="3" topLeftCell="G22" activePane="bottomRight" state="frozen"/>
      <selection pane="topRight" activeCell="B1" sqref="B1"/>
      <selection pane="bottomLeft" activeCell="A4" sqref="A4"/>
      <selection pane="bottomRight" activeCell="J11" sqref="J11"/>
    </sheetView>
  </sheetViews>
  <sheetFormatPr defaultColWidth="10.796875" defaultRowHeight="14.4" x14ac:dyDescent="0.25"/>
  <cols>
    <col min="1" max="1" width="30.8984375" style="93" customWidth="1"/>
    <col min="2" max="2" width="32.5" style="147" customWidth="1"/>
    <col min="3" max="3" width="18" style="147" customWidth="1"/>
    <col min="4" max="4" width="24.5" style="147" customWidth="1"/>
    <col min="5" max="5" width="18.09765625" style="147" customWidth="1"/>
    <col min="6" max="6" width="22.09765625" style="329" customWidth="1"/>
    <col min="7" max="7" width="20.296875" style="147" customWidth="1"/>
    <col min="8" max="8" width="24.296875" style="147" customWidth="1"/>
    <col min="9" max="9" width="24.5" style="147" customWidth="1"/>
    <col min="10" max="10" width="21.69921875" style="147" customWidth="1"/>
    <col min="11" max="11" width="22.69921875" style="147" customWidth="1"/>
    <col min="12" max="12" width="25" style="147" customWidth="1"/>
    <col min="13" max="13" width="23.69921875" style="147" customWidth="1"/>
    <col min="14" max="16384" width="10.796875" style="147"/>
  </cols>
  <sheetData>
    <row r="1" spans="1:13" s="329" customFormat="1" ht="27.55" customHeight="1" thickBot="1" x14ac:dyDescent="0.5">
      <c r="A1" s="271"/>
      <c r="B1" s="295" t="s">
        <v>359</v>
      </c>
      <c r="C1" s="496" t="s">
        <v>363</v>
      </c>
      <c r="D1" s="497"/>
      <c r="E1" s="518" t="s">
        <v>364</v>
      </c>
      <c r="F1" s="513"/>
      <c r="G1" s="521"/>
      <c r="H1" s="498" t="s">
        <v>144</v>
      </c>
      <c r="I1" s="499"/>
      <c r="J1" s="506" t="s">
        <v>248</v>
      </c>
      <c r="K1" s="509"/>
      <c r="L1" s="506" t="s">
        <v>249</v>
      </c>
      <c r="M1" s="509"/>
    </row>
    <row r="2" spans="1:13" s="329" customFormat="1" ht="50.1" x14ac:dyDescent="0.25">
      <c r="B2" s="332" t="s">
        <v>368</v>
      </c>
      <c r="C2" s="333" t="s">
        <v>171</v>
      </c>
      <c r="D2" s="334" t="s">
        <v>360</v>
      </c>
      <c r="H2" s="366" t="s">
        <v>454</v>
      </c>
      <c r="I2" s="366" t="s">
        <v>455</v>
      </c>
      <c r="J2" s="337" t="s">
        <v>1</v>
      </c>
      <c r="K2" s="338" t="s">
        <v>113</v>
      </c>
      <c r="L2" s="337" t="s">
        <v>1</v>
      </c>
      <c r="M2" s="338" t="s">
        <v>113</v>
      </c>
    </row>
    <row r="3" spans="1:13" s="329" customFormat="1" ht="21.3" thickBot="1" x14ac:dyDescent="0.4">
      <c r="A3" s="383"/>
      <c r="B3" s="468" t="s">
        <v>460</v>
      </c>
      <c r="C3" s="322"/>
      <c r="D3" s="276" t="s">
        <v>130</v>
      </c>
      <c r="I3" s="276" t="s">
        <v>130</v>
      </c>
      <c r="K3" s="276" t="s">
        <v>130</v>
      </c>
      <c r="M3" s="276" t="s">
        <v>130</v>
      </c>
    </row>
    <row r="4" spans="1:13" s="160" customFormat="1" ht="22.55" x14ac:dyDescent="0.35">
      <c r="A4" s="466" t="s">
        <v>239</v>
      </c>
      <c r="E4" s="494" t="str">
        <f>CONCATENATE(E5,"% anti-foam solution")</f>
        <v>100% anti-foam solution</v>
      </c>
      <c r="F4" s="495"/>
      <c r="G4" s="88"/>
      <c r="H4" s="88"/>
      <c r="I4" s="88"/>
      <c r="J4" s="147"/>
    </row>
    <row r="5" spans="1:13" ht="18.5" customHeight="1" x14ac:dyDescent="0.3">
      <c r="A5" s="519" t="s">
        <v>458</v>
      </c>
      <c r="C5" s="144"/>
      <c r="D5" s="88"/>
      <c r="E5" s="458">
        <v>100</v>
      </c>
      <c r="F5" s="464" t="s">
        <v>14</v>
      </c>
      <c r="G5" s="88"/>
      <c r="H5" s="88"/>
      <c r="I5" s="88"/>
      <c r="J5" s="101"/>
    </row>
    <row r="6" spans="1:13" s="88" customFormat="1" ht="20.350000000000001" customHeight="1" x14ac:dyDescent="0.3">
      <c r="A6" s="519"/>
      <c r="E6" s="459">
        <f>E5*10</f>
        <v>1000</v>
      </c>
      <c r="F6" s="465" t="s">
        <v>456</v>
      </c>
      <c r="K6" s="101"/>
      <c r="M6" s="101"/>
    </row>
    <row r="7" spans="1:13" s="88" customFormat="1" ht="22.25" customHeight="1" x14ac:dyDescent="0.35">
      <c r="A7" s="144"/>
      <c r="B7" s="143"/>
      <c r="E7" s="458">
        <v>1</v>
      </c>
      <c r="F7" s="465" t="s">
        <v>201</v>
      </c>
    </row>
    <row r="8" spans="1:13" s="88" customFormat="1" ht="17.399999999999999" customHeight="1" x14ac:dyDescent="0.25">
      <c r="A8" s="144"/>
      <c r="E8" s="459">
        <f>E$9*E$7</f>
        <v>1</v>
      </c>
      <c r="F8" s="465" t="s">
        <v>441</v>
      </c>
      <c r="G8" s="139"/>
      <c r="H8" s="139"/>
      <c r="I8" s="139"/>
      <c r="J8" s="139"/>
      <c r="K8" s="139"/>
      <c r="M8" s="139"/>
    </row>
    <row r="9" spans="1:13" s="88" customFormat="1" ht="35.700000000000003" thickBot="1" x14ac:dyDescent="0.3">
      <c r="A9" s="144"/>
      <c r="C9" s="91"/>
      <c r="D9" s="91"/>
      <c r="E9" s="460">
        <v>1</v>
      </c>
      <c r="F9" s="444" t="str">
        <f>CONCATENATE("L ",E4,"/ton input")</f>
        <v>L 100% anti-foam solution/ton input</v>
      </c>
      <c r="G9" s="189"/>
      <c r="H9" s="189"/>
      <c r="I9" s="189"/>
      <c r="J9" s="189"/>
      <c r="K9" s="189"/>
      <c r="L9" s="189"/>
      <c r="M9" s="189"/>
    </row>
    <row r="10" spans="1:13" s="88" customFormat="1" ht="21.6" customHeight="1" thickBot="1" x14ac:dyDescent="0.4">
      <c r="A10" s="272" t="s">
        <v>361</v>
      </c>
      <c r="B10" s="295">
        <v>934</v>
      </c>
      <c r="C10" s="280">
        <f>B10</f>
        <v>934</v>
      </c>
      <c r="D10" s="280"/>
      <c r="E10" s="425">
        <f>(E$8/1000)*$C$46</f>
        <v>185000</v>
      </c>
      <c r="F10" s="155"/>
      <c r="G10" s="162"/>
      <c r="H10" s="452">
        <f>(J10/(C10+E10+G10))</f>
        <v>4.1175912289502532E-3</v>
      </c>
      <c r="I10" s="282">
        <f>100%-H10</f>
        <v>0.99588240877104972</v>
      </c>
      <c r="J10" s="346">
        <f>(J11+J12)/1000</f>
        <v>765.60020756363633</v>
      </c>
      <c r="K10" s="345"/>
      <c r="L10" s="346">
        <f>(L11+L12)/1000</f>
        <v>185168.39979243636</v>
      </c>
      <c r="M10" s="345"/>
    </row>
    <row r="11" spans="1:13" s="88" customFormat="1" ht="18.2" thickBot="1" x14ac:dyDescent="0.35">
      <c r="A11" s="273" t="s">
        <v>175</v>
      </c>
      <c r="B11" s="384">
        <f>J19/1000</f>
        <v>2.7840721157894741</v>
      </c>
      <c r="C11" s="283">
        <f>(C10*1000)-C12</f>
        <v>900376</v>
      </c>
      <c r="D11" s="300"/>
      <c r="E11" s="426">
        <f>(E10*1000)-E12</f>
        <v>0</v>
      </c>
      <c r="F11" s="155"/>
      <c r="G11" s="162"/>
      <c r="H11" s="472">
        <v>0.85</v>
      </c>
      <c r="I11" s="282">
        <f>100%-H11</f>
        <v>0.15000000000000002</v>
      </c>
      <c r="J11" s="291">
        <f>($C11+$E11)*H11</f>
        <v>765319.6</v>
      </c>
      <c r="K11" s="293">
        <f>J11/$J$10</f>
        <v>999.63348029315546</v>
      </c>
      <c r="L11" s="291">
        <f>($C11+$E11)*I11</f>
        <v>135056.40000000002</v>
      </c>
      <c r="M11" s="293">
        <f>L11/$L$10</f>
        <v>0.72937067097512776</v>
      </c>
    </row>
    <row r="12" spans="1:13" s="88" customFormat="1" ht="21.3" thickBot="1" x14ac:dyDescent="0.4">
      <c r="A12" s="272" t="s">
        <v>176</v>
      </c>
      <c r="B12" s="295">
        <v>36</v>
      </c>
      <c r="C12" s="280">
        <f>C13+C16</f>
        <v>33624</v>
      </c>
      <c r="D12" s="301">
        <f>C12/C10</f>
        <v>36</v>
      </c>
      <c r="E12" s="426">
        <f>E13+E16</f>
        <v>185000000</v>
      </c>
      <c r="F12" s="155"/>
      <c r="G12" s="162"/>
      <c r="H12" s="419">
        <f>(J12/(C12+E12+G12))</f>
        <v>1.5165220113527241E-6</v>
      </c>
      <c r="I12" s="282">
        <f>100%-H12</f>
        <v>0.9999984834779887</v>
      </c>
      <c r="J12" s="291">
        <f>J13+J16</f>
        <v>280.60756363636369</v>
      </c>
      <c r="K12" s="293">
        <f>J12/$J$10</f>
        <v>0.36651970684456708</v>
      </c>
      <c r="L12" s="291">
        <f>L13+L16</f>
        <v>185033343.39243636</v>
      </c>
      <c r="M12" s="293">
        <f t="shared" ref="M12:M36" si="0">L12/$L$10</f>
        <v>999.27062932902481</v>
      </c>
    </row>
    <row r="13" spans="1:13" s="88" customFormat="1" ht="18.2" thickBot="1" x14ac:dyDescent="0.35">
      <c r="A13" s="273" t="s">
        <v>177</v>
      </c>
      <c r="B13" s="384">
        <f>B12-B16</f>
        <v>21.81818181818182</v>
      </c>
      <c r="C13" s="280">
        <f>C14+C15</f>
        <v>20378.18181818182</v>
      </c>
      <c r="D13" s="297">
        <f>C13/C10</f>
        <v>21.81818181818182</v>
      </c>
      <c r="E13" s="426">
        <f>E14+E15</f>
        <v>0</v>
      </c>
      <c r="F13" s="155"/>
      <c r="G13" s="162"/>
      <c r="H13" s="419">
        <f>(J13/(C13+E13+G13))</f>
        <v>0.01</v>
      </c>
      <c r="I13" s="282">
        <f>100%-H13</f>
        <v>0.99</v>
      </c>
      <c r="J13" s="291">
        <f>J14+J15</f>
        <v>203.78181818181821</v>
      </c>
      <c r="K13" s="293">
        <f t="shared" ref="K13:K36" si="1">J13/$J$10</f>
        <v>0.26617262661188601</v>
      </c>
      <c r="L13" s="291">
        <f>L14+L15</f>
        <v>20174.400000000001</v>
      </c>
      <c r="M13" s="293">
        <f t="shared" si="0"/>
        <v>0.10895163549835933</v>
      </c>
    </row>
    <row r="14" spans="1:13" s="88" customFormat="1" ht="18.2" thickBot="1" x14ac:dyDescent="0.35">
      <c r="A14" s="272" t="s">
        <v>178</v>
      </c>
      <c r="B14" s="385">
        <f>B21+B28+B31+0.156+0.095+0.72+1.6+0.11</f>
        <v>3.6283684210526315</v>
      </c>
      <c r="C14" s="283">
        <f>D14*C10</f>
        <v>10189.09090909091</v>
      </c>
      <c r="D14" s="300">
        <f>1/2*B13</f>
        <v>10.90909090909091</v>
      </c>
      <c r="E14" s="426">
        <v>0</v>
      </c>
      <c r="F14" s="155"/>
      <c r="G14" s="162"/>
      <c r="H14" s="472">
        <v>0</v>
      </c>
      <c r="I14" s="282">
        <f t="shared" ref="I14:I36" si="2">100%-H14</f>
        <v>1</v>
      </c>
      <c r="J14" s="291">
        <f t="shared" ref="J14:J15" si="3">($C14+$E14)*H14</f>
        <v>0</v>
      </c>
      <c r="K14" s="293">
        <f t="shared" si="1"/>
        <v>0</v>
      </c>
      <c r="L14" s="291">
        <f>($C14+$E14)*I14</f>
        <v>10189.09090909091</v>
      </c>
      <c r="M14" s="293">
        <f t="shared" si="0"/>
        <v>5.502607853452491E-2</v>
      </c>
    </row>
    <row r="15" spans="1:13" s="88" customFormat="1" ht="18.2" thickBot="1" x14ac:dyDescent="0.35">
      <c r="A15" s="273" t="s">
        <v>179</v>
      </c>
      <c r="B15" s="385">
        <f>B13-B14</f>
        <v>18.189813397129189</v>
      </c>
      <c r="C15" s="302">
        <f>D15*C10</f>
        <v>10189.09090909091</v>
      </c>
      <c r="D15" s="300">
        <f>1/2*B13</f>
        <v>10.90909090909091</v>
      </c>
      <c r="E15" s="426">
        <v>0</v>
      </c>
      <c r="F15" s="155"/>
      <c r="G15" s="162"/>
      <c r="H15" s="473">
        <v>0.02</v>
      </c>
      <c r="I15" s="282">
        <f t="shared" si="2"/>
        <v>0.98</v>
      </c>
      <c r="J15" s="291">
        <f t="shared" si="3"/>
        <v>203.78181818181821</v>
      </c>
      <c r="K15" s="293">
        <f t="shared" si="1"/>
        <v>0.26617262661188601</v>
      </c>
      <c r="L15" s="291">
        <f>($C15+$E15)*I15</f>
        <v>9985.3090909090915</v>
      </c>
      <c r="M15" s="293">
        <f t="shared" si="0"/>
        <v>5.3925556963834415E-2</v>
      </c>
    </row>
    <row r="16" spans="1:13" s="88" customFormat="1" ht="21.3" thickBot="1" x14ac:dyDescent="0.4">
      <c r="A16" s="272" t="s">
        <v>180</v>
      </c>
      <c r="B16" s="467">
        <f>(26/66)*B12</f>
        <v>14.181818181818182</v>
      </c>
      <c r="C16" s="303">
        <f>C17+C18</f>
        <v>13245.81818181818</v>
      </c>
      <c r="D16" s="301">
        <f>C16/C10</f>
        <v>14.18181818181818</v>
      </c>
      <c r="E16" s="422">
        <f>E17+E18</f>
        <v>185000000</v>
      </c>
      <c r="F16" s="155"/>
      <c r="G16" s="162"/>
      <c r="H16" s="419">
        <f>(J16/(C16+E16+G16))</f>
        <v>4.1524456865128713E-7</v>
      </c>
      <c r="I16" s="282">
        <f t="shared" si="2"/>
        <v>0.99999958475543138</v>
      </c>
      <c r="J16" s="291">
        <f>J17+J18</f>
        <v>76.825745454545455</v>
      </c>
      <c r="K16" s="293">
        <f t="shared" si="1"/>
        <v>0.10034708023268102</v>
      </c>
      <c r="L16" s="291">
        <f>L17+L18</f>
        <v>185013168.99243635</v>
      </c>
      <c r="M16" s="293">
        <f t="shared" si="0"/>
        <v>999.16167769352649</v>
      </c>
    </row>
    <row r="17" spans="1:13" s="88" customFormat="1" ht="18.2" thickBot="1" x14ac:dyDescent="0.35">
      <c r="A17" s="273" t="s">
        <v>181</v>
      </c>
      <c r="B17" s="265"/>
      <c r="C17" s="302">
        <f>D17*C10</f>
        <v>9404.5309090909086</v>
      </c>
      <c r="D17" s="300">
        <f>71%*B16</f>
        <v>10.069090909090908</v>
      </c>
      <c r="E17" s="422">
        <f>E$6*E$10/E$7</f>
        <v>185000000</v>
      </c>
      <c r="F17" s="155"/>
      <c r="G17" s="162"/>
      <c r="H17" s="472">
        <v>0</v>
      </c>
      <c r="I17" s="282">
        <f t="shared" si="2"/>
        <v>1</v>
      </c>
      <c r="J17" s="291">
        <f t="shared" ref="J17:J18" si="4">($C17+$E17)*H17</f>
        <v>0</v>
      </c>
      <c r="K17" s="293">
        <f t="shared" si="1"/>
        <v>0</v>
      </c>
      <c r="L17" s="291">
        <f>($C17+$E17)*I17</f>
        <v>185009404.53090909</v>
      </c>
      <c r="M17" s="293">
        <f t="shared" si="0"/>
        <v>999.14134775855109</v>
      </c>
    </row>
    <row r="18" spans="1:13" s="88" customFormat="1" ht="18.2" thickBot="1" x14ac:dyDescent="0.35">
      <c r="A18" s="272" t="s">
        <v>182</v>
      </c>
      <c r="B18" s="265"/>
      <c r="C18" s="302">
        <f>D18*C10</f>
        <v>3841.2872727272725</v>
      </c>
      <c r="D18" s="300">
        <f>29%*B16</f>
        <v>4.1127272727272723</v>
      </c>
      <c r="E18" s="422">
        <v>0</v>
      </c>
      <c r="F18" s="155"/>
      <c r="G18" s="162"/>
      <c r="H18" s="473">
        <v>0.02</v>
      </c>
      <c r="I18" s="282">
        <f t="shared" si="2"/>
        <v>0.98</v>
      </c>
      <c r="J18" s="291">
        <f t="shared" si="4"/>
        <v>76.825745454545455</v>
      </c>
      <c r="K18" s="293">
        <f t="shared" si="1"/>
        <v>0.10034708023268102</v>
      </c>
      <c r="L18" s="291">
        <f>($C18+$E18)*I18</f>
        <v>3764.4615272727269</v>
      </c>
      <c r="M18" s="293">
        <f t="shared" si="0"/>
        <v>2.032993497536557E-2</v>
      </c>
    </row>
    <row r="19" spans="1:13" s="88" customFormat="1" ht="21.3" thickBot="1" x14ac:dyDescent="0.4">
      <c r="A19" s="273" t="s">
        <v>183</v>
      </c>
      <c r="B19" s="295">
        <v>6.5</v>
      </c>
      <c r="C19" s="303">
        <f>C20+C23</f>
        <v>6071</v>
      </c>
      <c r="D19" s="299">
        <f>C19/C10</f>
        <v>6.5</v>
      </c>
      <c r="E19" s="422">
        <v>0</v>
      </c>
      <c r="F19" s="154"/>
      <c r="G19" s="162"/>
      <c r="H19" s="419">
        <f>(J19/(C19+E19+G19))</f>
        <v>0.45858542510121464</v>
      </c>
      <c r="I19" s="282">
        <f t="shared" si="2"/>
        <v>0.54141457489878531</v>
      </c>
      <c r="J19" s="291">
        <f>J20+J23</f>
        <v>2784.0721157894741</v>
      </c>
      <c r="K19" s="293">
        <f t="shared" si="1"/>
        <v>3.6364568456024919</v>
      </c>
      <c r="L19" s="291">
        <f>L20+L23</f>
        <v>3286.9278842105259</v>
      </c>
      <c r="M19" s="293">
        <f t="shared" si="0"/>
        <v>1.7751019547044701E-2</v>
      </c>
    </row>
    <row r="20" spans="1:13" s="88" customFormat="1" ht="18.2" thickBot="1" x14ac:dyDescent="0.35">
      <c r="A20" s="272" t="s">
        <v>184</v>
      </c>
      <c r="B20" s="265">
        <f>D22/0.95</f>
        <v>3.7894736842105265</v>
      </c>
      <c r="C20" s="303">
        <f>C21+C22</f>
        <v>3539.3684210526317</v>
      </c>
      <c r="D20" s="296">
        <f>C20/C10</f>
        <v>3.7894736842105265</v>
      </c>
      <c r="E20" s="422">
        <v>0</v>
      </c>
      <c r="F20" s="155"/>
      <c r="G20" s="163"/>
      <c r="H20" s="419">
        <f>(J20/(C20+E20+G20))</f>
        <v>0.76500000000000001</v>
      </c>
      <c r="I20" s="282">
        <f t="shared" si="2"/>
        <v>0.23499999999999999</v>
      </c>
      <c r="J20" s="291">
        <f>J21+J22</f>
        <v>2707.6168421052635</v>
      </c>
      <c r="K20" s="293">
        <f t="shared" si="1"/>
        <v>3.5365936625352958</v>
      </c>
      <c r="L20" s="291">
        <f>L21+L22</f>
        <v>831.75157894736844</v>
      </c>
      <c r="M20" s="293">
        <f t="shared" si="0"/>
        <v>4.4918656740551653E-3</v>
      </c>
    </row>
    <row r="21" spans="1:13" s="88" customFormat="1" ht="18.2" thickBot="1" x14ac:dyDescent="0.35">
      <c r="A21" s="273" t="s">
        <v>185</v>
      </c>
      <c r="B21" s="265"/>
      <c r="C21" s="303">
        <f>D21*C10</f>
        <v>176.96842105263173</v>
      </c>
      <c r="D21" s="296">
        <f>B20-D22</f>
        <v>0.18947368421052646</v>
      </c>
      <c r="E21" s="422">
        <v>0</v>
      </c>
      <c r="F21" s="154"/>
      <c r="G21" s="162"/>
      <c r="H21" s="473">
        <v>0.1</v>
      </c>
      <c r="I21" s="282">
        <f t="shared" si="2"/>
        <v>0.9</v>
      </c>
      <c r="J21" s="291">
        <f t="shared" ref="J21:J22" si="5">($C21+$E21)*H21</f>
        <v>17.696842105263173</v>
      </c>
      <c r="K21" s="293">
        <f t="shared" si="1"/>
        <v>2.3114991258400643E-2</v>
      </c>
      <c r="L21" s="291">
        <f>($C21+$E21)*I21</f>
        <v>159.27157894736857</v>
      </c>
      <c r="M21" s="293">
        <f t="shared" si="0"/>
        <v>8.6014449077652171E-4</v>
      </c>
    </row>
    <row r="22" spans="1:13" s="88" customFormat="1" ht="21.3" thickBot="1" x14ac:dyDescent="0.4">
      <c r="A22" s="272" t="s">
        <v>186</v>
      </c>
      <c r="B22" s="295">
        <v>3.6</v>
      </c>
      <c r="C22" s="302">
        <f>D22*C10</f>
        <v>3362.4</v>
      </c>
      <c r="D22" s="299">
        <f>B22</f>
        <v>3.6</v>
      </c>
      <c r="E22" s="422">
        <v>0</v>
      </c>
      <c r="F22" s="154"/>
      <c r="G22" s="162"/>
      <c r="H22" s="474">
        <v>0.8</v>
      </c>
      <c r="I22" s="282">
        <f t="shared" si="2"/>
        <v>0.19999999999999996</v>
      </c>
      <c r="J22" s="291">
        <f t="shared" si="5"/>
        <v>2689.92</v>
      </c>
      <c r="K22" s="293">
        <f t="shared" si="1"/>
        <v>3.5134786712768951</v>
      </c>
      <c r="L22" s="291">
        <f>($C22+$E22)*I22</f>
        <v>672.4799999999999</v>
      </c>
      <c r="M22" s="293">
        <f t="shared" si="0"/>
        <v>3.6317211832786432E-3</v>
      </c>
    </row>
    <row r="23" spans="1:13" s="88" customFormat="1" ht="18.2" thickBot="1" x14ac:dyDescent="0.35">
      <c r="A23" s="273" t="s">
        <v>187</v>
      </c>
      <c r="B23" s="265">
        <f>B19-B20</f>
        <v>2.7105263157894735</v>
      </c>
      <c r="C23" s="303">
        <f>C24+C25</f>
        <v>2531.6315789473683</v>
      </c>
      <c r="D23" s="296">
        <f>C23/C10</f>
        <v>2.7105263157894735</v>
      </c>
      <c r="E23" s="422">
        <v>0</v>
      </c>
      <c r="F23" s="154"/>
      <c r="G23" s="162"/>
      <c r="H23" s="419">
        <f>(J23/(C23+E23+G23))</f>
        <v>3.0200000000000001E-2</v>
      </c>
      <c r="I23" s="282">
        <f t="shared" si="2"/>
        <v>0.9698</v>
      </c>
      <c r="J23" s="291">
        <f>J24+J25</f>
        <v>76.455273684210525</v>
      </c>
      <c r="K23" s="293">
        <f t="shared" si="1"/>
        <v>9.9863183067195813E-2</v>
      </c>
      <c r="L23" s="291">
        <f>L24+L25</f>
        <v>2455.1763052631577</v>
      </c>
      <c r="M23" s="293">
        <f t="shared" si="0"/>
        <v>1.3259153872989538E-2</v>
      </c>
    </row>
    <row r="24" spans="1:13" s="88" customFormat="1" ht="18.2" thickBot="1" x14ac:dyDescent="0.35">
      <c r="A24" s="272" t="s">
        <v>188</v>
      </c>
      <c r="B24" s="265"/>
      <c r="C24" s="302">
        <f>D24*C10</f>
        <v>860.75473684210522</v>
      </c>
      <c r="D24" s="298">
        <f>0.34*B23</f>
        <v>0.92157894736842105</v>
      </c>
      <c r="E24" s="422">
        <v>0</v>
      </c>
      <c r="F24" s="155"/>
      <c r="G24" s="163"/>
      <c r="H24" s="472">
        <v>0.05</v>
      </c>
      <c r="I24" s="282">
        <f t="shared" si="2"/>
        <v>0.95</v>
      </c>
      <c r="J24" s="291">
        <f t="shared" ref="J24:J25" si="6">($C24+$E24)*H24</f>
        <v>43.037736842105261</v>
      </c>
      <c r="K24" s="293">
        <f t="shared" si="1"/>
        <v>5.6214374574249291E-2</v>
      </c>
      <c r="L24" s="291">
        <f>($C24+$E24)*I24</f>
        <v>817.71699999999987</v>
      </c>
      <c r="M24" s="293">
        <f t="shared" si="0"/>
        <v>4.4160720777228508E-3</v>
      </c>
    </row>
    <row r="25" spans="1:13" s="88" customFormat="1" ht="18.2" thickBot="1" x14ac:dyDescent="0.35">
      <c r="A25" s="273" t="s">
        <v>189</v>
      </c>
      <c r="B25" s="265"/>
      <c r="C25" s="302">
        <f>D25*C10</f>
        <v>1670.8768421052632</v>
      </c>
      <c r="D25" s="298">
        <f>0.66*B23</f>
        <v>1.7889473684210526</v>
      </c>
      <c r="E25" s="422">
        <v>0</v>
      </c>
      <c r="F25" s="155"/>
      <c r="G25" s="163"/>
      <c r="H25" s="472">
        <v>0.02</v>
      </c>
      <c r="I25" s="282">
        <f t="shared" si="2"/>
        <v>0.98</v>
      </c>
      <c r="J25" s="291">
        <f t="shared" si="6"/>
        <v>33.417536842105264</v>
      </c>
      <c r="K25" s="293">
        <f t="shared" si="1"/>
        <v>4.3648808492946514E-2</v>
      </c>
      <c r="L25" s="291">
        <f>($C25+$E25)*I25</f>
        <v>1637.4593052631578</v>
      </c>
      <c r="M25" s="293">
        <f t="shared" si="0"/>
        <v>8.8430817952666867E-3</v>
      </c>
    </row>
    <row r="26" spans="1:13" s="88" customFormat="1" ht="21.3" thickBot="1" x14ac:dyDescent="0.4">
      <c r="A26" s="272" t="s">
        <v>190</v>
      </c>
      <c r="B26" s="295">
        <v>1.2</v>
      </c>
      <c r="C26" s="303">
        <f>C27+C30</f>
        <v>1120.8</v>
      </c>
      <c r="D26" s="299">
        <f>C26/C10</f>
        <v>1.2</v>
      </c>
      <c r="E26" s="422">
        <v>0</v>
      </c>
      <c r="F26" s="154"/>
      <c r="G26" s="162"/>
      <c r="H26" s="419">
        <f>(J26/(C26+E26+G26))</f>
        <v>4.2105263157894736E-3</v>
      </c>
      <c r="I26" s="282">
        <f t="shared" si="2"/>
        <v>0.99578947368421056</v>
      </c>
      <c r="J26" s="291">
        <f>J27+J30</f>
        <v>4.719157894736842</v>
      </c>
      <c r="K26" s="293">
        <f t="shared" si="1"/>
        <v>6.1639976689068336E-3</v>
      </c>
      <c r="L26" s="291">
        <f>L27+L30</f>
        <v>1116.0808421052629</v>
      </c>
      <c r="M26" s="293">
        <f t="shared" si="0"/>
        <v>6.0273828761080641E-3</v>
      </c>
    </row>
    <row r="27" spans="1:13" s="88" customFormat="1" ht="18.2" thickBot="1" x14ac:dyDescent="0.35">
      <c r="A27" s="273" t="s">
        <v>191</v>
      </c>
      <c r="B27" s="384">
        <f>B29/0.19</f>
        <v>0.78947368421052633</v>
      </c>
      <c r="C27" s="303">
        <f>C28+C29</f>
        <v>737.36842105263156</v>
      </c>
      <c r="D27" s="296">
        <f>C27/C10</f>
        <v>0.78947368421052633</v>
      </c>
      <c r="E27" s="422">
        <v>0</v>
      </c>
      <c r="F27" s="155"/>
      <c r="G27" s="163"/>
      <c r="H27" s="419">
        <f>(J27/(C27+E27+G27))</f>
        <v>3.8E-3</v>
      </c>
      <c r="I27" s="282">
        <f t="shared" si="2"/>
        <v>0.99619999999999997</v>
      </c>
      <c r="J27" s="291">
        <f>J28+J29</f>
        <v>2.802</v>
      </c>
      <c r="K27" s="293">
        <f t="shared" si="1"/>
        <v>3.6598736159134324E-3</v>
      </c>
      <c r="L27" s="291">
        <f>L28+L29</f>
        <v>734.56642105263154</v>
      </c>
      <c r="M27" s="293">
        <f t="shared" si="0"/>
        <v>3.9670182486646766E-3</v>
      </c>
    </row>
    <row r="28" spans="1:13" s="88" customFormat="1" ht="18.2" thickBot="1" x14ac:dyDescent="0.35">
      <c r="A28" s="272" t="s">
        <v>192</v>
      </c>
      <c r="B28" s="385">
        <f>B27-B29</f>
        <v>0.63947368421052631</v>
      </c>
      <c r="C28" s="303">
        <f>D28*C10</f>
        <v>597.26842105263154</v>
      </c>
      <c r="D28" s="296">
        <f>B28</f>
        <v>0.63947368421052631</v>
      </c>
      <c r="E28" s="422">
        <v>0</v>
      </c>
      <c r="F28" s="155"/>
      <c r="G28" s="163"/>
      <c r="H28" s="472">
        <v>0</v>
      </c>
      <c r="I28" s="282">
        <f t="shared" si="2"/>
        <v>1</v>
      </c>
      <c r="J28" s="291">
        <f t="shared" ref="J28:J29" si="7">($C28+$E28)*H28</f>
        <v>0</v>
      </c>
      <c r="K28" s="293">
        <f t="shared" si="1"/>
        <v>0</v>
      </c>
      <c r="L28" s="291">
        <f>($C28+$E28)*I28</f>
        <v>597.26842105263154</v>
      </c>
      <c r="M28" s="293">
        <f t="shared" si="0"/>
        <v>3.2255418404119533E-3</v>
      </c>
    </row>
    <row r="29" spans="1:13" s="88" customFormat="1" ht="18.2" thickBot="1" x14ac:dyDescent="0.35">
      <c r="A29" s="273" t="s">
        <v>193</v>
      </c>
      <c r="B29" s="385">
        <v>0.15</v>
      </c>
      <c r="C29" s="302">
        <f>D29*C10</f>
        <v>140.1</v>
      </c>
      <c r="D29" s="298">
        <f>B29</f>
        <v>0.15</v>
      </c>
      <c r="E29" s="422">
        <v>0</v>
      </c>
      <c r="F29" s="155"/>
      <c r="G29" s="163"/>
      <c r="H29" s="475">
        <v>0.02</v>
      </c>
      <c r="I29" s="282">
        <f t="shared" si="2"/>
        <v>0.98</v>
      </c>
      <c r="J29" s="291">
        <f t="shared" si="7"/>
        <v>2.802</v>
      </c>
      <c r="K29" s="294">
        <f t="shared" si="1"/>
        <v>3.6598736159134324E-3</v>
      </c>
      <c r="L29" s="291">
        <f>($C29+$E29)*I29</f>
        <v>137.298</v>
      </c>
      <c r="M29" s="294">
        <f t="shared" si="0"/>
        <v>7.414764082527231E-4</v>
      </c>
    </row>
    <row r="30" spans="1:13" s="88" customFormat="1" ht="18.2" thickBot="1" x14ac:dyDescent="0.35">
      <c r="A30" s="272" t="s">
        <v>194</v>
      </c>
      <c r="B30" s="385">
        <f>B26-B27</f>
        <v>0.41052631578947363</v>
      </c>
      <c r="C30" s="303">
        <f>C31+C32</f>
        <v>383.43157894736839</v>
      </c>
      <c r="D30" s="296">
        <f>C30/C10</f>
        <v>0.41052631578947363</v>
      </c>
      <c r="E30" s="422">
        <v>0</v>
      </c>
      <c r="F30" s="154"/>
      <c r="G30" s="162"/>
      <c r="H30" s="419">
        <f>(J30/(C30+E30+G30))</f>
        <v>5.0000000000000001E-3</v>
      </c>
      <c r="I30" s="282">
        <f t="shared" si="2"/>
        <v>0.995</v>
      </c>
      <c r="J30" s="291">
        <f>J31+J32</f>
        <v>1.9171578947368419</v>
      </c>
      <c r="K30" s="293">
        <f t="shared" si="1"/>
        <v>2.5041240529934008E-3</v>
      </c>
      <c r="L30" s="291">
        <f>L31+L32</f>
        <v>381.51442105263152</v>
      </c>
      <c r="M30" s="293">
        <f t="shared" si="0"/>
        <v>2.0603646274433883E-3</v>
      </c>
    </row>
    <row r="31" spans="1:13" s="88" customFormat="1" ht="18.2" thickBot="1" x14ac:dyDescent="0.35">
      <c r="A31" s="273" t="s">
        <v>195</v>
      </c>
      <c r="B31" s="385">
        <f>B30*0.75</f>
        <v>0.30789473684210522</v>
      </c>
      <c r="C31" s="302">
        <f>D31*C10</f>
        <v>287.57368421052627</v>
      </c>
      <c r="D31" s="298">
        <f>B31</f>
        <v>0.30789473684210522</v>
      </c>
      <c r="E31" s="422">
        <v>0</v>
      </c>
      <c r="F31" s="155"/>
      <c r="G31" s="163"/>
      <c r="H31" s="473">
        <v>0</v>
      </c>
      <c r="I31" s="282">
        <f t="shared" si="2"/>
        <v>1</v>
      </c>
      <c r="J31" s="291">
        <f t="shared" ref="J31:J32" si="8">($C31+$E31)*H31</f>
        <v>0</v>
      </c>
      <c r="K31" s="293">
        <f t="shared" si="1"/>
        <v>0</v>
      </c>
      <c r="L31" s="291">
        <f>($C31+$E31)*I31</f>
        <v>287.57368421052627</v>
      </c>
      <c r="M31" s="293">
        <f t="shared" si="0"/>
        <v>1.5530386639020515E-3</v>
      </c>
    </row>
    <row r="32" spans="1:13" s="88" customFormat="1" ht="18.2" thickBot="1" x14ac:dyDescent="0.35">
      <c r="A32" s="272" t="s">
        <v>196</v>
      </c>
      <c r="B32" s="385">
        <f>B30*0.25</f>
        <v>0.10263157894736841</v>
      </c>
      <c r="C32" s="302">
        <f>D32*C10</f>
        <v>95.857894736842098</v>
      </c>
      <c r="D32" s="298">
        <f>B32</f>
        <v>0.10263157894736841</v>
      </c>
      <c r="E32" s="422">
        <v>0</v>
      </c>
      <c r="F32" s="155"/>
      <c r="G32" s="163"/>
      <c r="H32" s="476">
        <v>0.02</v>
      </c>
      <c r="I32" s="282">
        <f t="shared" si="2"/>
        <v>0.98</v>
      </c>
      <c r="J32" s="291">
        <f t="shared" si="8"/>
        <v>1.9171578947368419</v>
      </c>
      <c r="K32" s="293">
        <f t="shared" si="1"/>
        <v>2.5041240529934008E-3</v>
      </c>
      <c r="L32" s="291">
        <f>($C32+$E32)*I32</f>
        <v>93.940736842105252</v>
      </c>
      <c r="M32" s="293">
        <f t="shared" si="0"/>
        <v>5.0732596354133687E-4</v>
      </c>
    </row>
    <row r="33" spans="1:13" s="88" customFormat="1" ht="21.3" thickBot="1" x14ac:dyDescent="0.4">
      <c r="A33" s="273" t="s">
        <v>197</v>
      </c>
      <c r="B33" s="295">
        <v>5.5</v>
      </c>
      <c r="C33" s="303">
        <f>C34</f>
        <v>5137</v>
      </c>
      <c r="D33" s="299">
        <f>C33/C10</f>
        <v>5.5</v>
      </c>
      <c r="E33" s="422">
        <v>0</v>
      </c>
      <c r="F33" s="154"/>
      <c r="G33" s="162"/>
      <c r="H33" s="419">
        <f>(J33/(C33+E33+G33))</f>
        <v>4.3E-3</v>
      </c>
      <c r="I33" s="282">
        <f t="shared" si="2"/>
        <v>0.99570000000000003</v>
      </c>
      <c r="J33" s="291">
        <f>J34</f>
        <v>22.089099999999998</v>
      </c>
      <c r="K33" s="293">
        <f t="shared" si="1"/>
        <v>2.8852003672117557E-2</v>
      </c>
      <c r="L33" s="291">
        <f>L34</f>
        <v>5114.9108999999999</v>
      </c>
      <c r="M33" s="293">
        <f t="shared" si="0"/>
        <v>2.7623022641733334E-2</v>
      </c>
    </row>
    <row r="34" spans="1:13" s="88" customFormat="1" ht="18.2" thickBot="1" x14ac:dyDescent="0.35">
      <c r="A34" s="272" t="s">
        <v>198</v>
      </c>
      <c r="B34" s="265"/>
      <c r="C34" s="303">
        <f>C35+C36</f>
        <v>5137</v>
      </c>
      <c r="D34" s="296">
        <f>C34/C10</f>
        <v>5.5</v>
      </c>
      <c r="E34" s="422">
        <v>0</v>
      </c>
      <c r="F34" s="155"/>
      <c r="G34" s="163"/>
      <c r="H34" s="419">
        <f>(J34/(C34+E34+G34))</f>
        <v>4.3E-3</v>
      </c>
      <c r="I34" s="282">
        <f t="shared" si="2"/>
        <v>0.99570000000000003</v>
      </c>
      <c r="J34" s="291">
        <f>J35+J36</f>
        <v>22.089099999999998</v>
      </c>
      <c r="K34" s="293">
        <f t="shared" si="1"/>
        <v>2.8852003672117557E-2</v>
      </c>
      <c r="L34" s="291">
        <f>L35+L36</f>
        <v>5114.9108999999999</v>
      </c>
      <c r="M34" s="293">
        <f t="shared" si="0"/>
        <v>2.7623022641733334E-2</v>
      </c>
    </row>
    <row r="35" spans="1:13" s="88" customFormat="1" ht="18.2" thickBot="1" x14ac:dyDescent="0.35">
      <c r="A35" s="273" t="s">
        <v>199</v>
      </c>
      <c r="B35" s="266"/>
      <c r="C35" s="303">
        <f>D35*C10</f>
        <v>719.18000000000006</v>
      </c>
      <c r="D35" s="296">
        <f>0.14*B33</f>
        <v>0.77</v>
      </c>
      <c r="E35" s="422">
        <v>0</v>
      </c>
      <c r="F35" s="155"/>
      <c r="G35" s="163"/>
      <c r="H35" s="473">
        <v>0</v>
      </c>
      <c r="I35" s="282">
        <f t="shared" si="2"/>
        <v>1</v>
      </c>
      <c r="J35" s="291">
        <f t="shared" ref="J35:J36" si="9">($C35+$E35)*H35</f>
        <v>0</v>
      </c>
      <c r="K35" s="293">
        <f t="shared" si="1"/>
        <v>0</v>
      </c>
      <c r="L35" s="291">
        <f>($C35+$E35)*I35</f>
        <v>719.18000000000006</v>
      </c>
      <c r="M35" s="293">
        <f t="shared" si="0"/>
        <v>3.88392404322855E-3</v>
      </c>
    </row>
    <row r="36" spans="1:13" s="88" customFormat="1" ht="18.2" thickBot="1" x14ac:dyDescent="0.35">
      <c r="A36" s="272" t="s">
        <v>200</v>
      </c>
      <c r="B36" s="266"/>
      <c r="C36" s="302">
        <f>D36*C10</f>
        <v>4417.82</v>
      </c>
      <c r="D36" s="298">
        <f>0.86*B33</f>
        <v>4.7299999999999995</v>
      </c>
      <c r="E36" s="423">
        <v>0</v>
      </c>
      <c r="F36" s="155"/>
      <c r="G36" s="163"/>
      <c r="H36" s="476">
        <v>5.0000000000000001E-3</v>
      </c>
      <c r="I36" s="282">
        <f t="shared" si="2"/>
        <v>0.995</v>
      </c>
      <c r="J36" s="291">
        <f t="shared" si="9"/>
        <v>22.089099999999998</v>
      </c>
      <c r="K36" s="293">
        <f t="shared" si="1"/>
        <v>2.8852003672117557E-2</v>
      </c>
      <c r="L36" s="291">
        <f>($C36+$E36)*I36</f>
        <v>4395.7308999999996</v>
      </c>
      <c r="M36" s="293">
        <f t="shared" si="0"/>
        <v>2.3739098598504784E-2</v>
      </c>
    </row>
    <row r="37" spans="1:13" s="88" customFormat="1" x14ac:dyDescent="0.25"/>
    <row r="38" spans="1:13" s="365" customFormat="1" ht="15.05" thickBot="1" x14ac:dyDescent="0.3"/>
    <row r="39" spans="1:13" s="88" customFormat="1" ht="15.65" thickBot="1" x14ac:dyDescent="0.35">
      <c r="A39" s="92"/>
      <c r="B39" s="92"/>
      <c r="C39" s="92"/>
      <c r="D39" s="92"/>
      <c r="K39" s="101"/>
      <c r="M39" s="101"/>
    </row>
    <row r="40" spans="1:13" ht="17.55" x14ac:dyDescent="0.3">
      <c r="E40" s="494" t="str">
        <f>CONCATENATE(E41,"% anti-foam solution")</f>
        <v>100% anti-foam solution</v>
      </c>
      <c r="F40" s="495"/>
      <c r="G40" s="494" t="str">
        <f>CONCATENATE(G41,"% H2SO4 solution")</f>
        <v>96% H2SO4 solution</v>
      </c>
      <c r="H40" s="495"/>
    </row>
    <row r="41" spans="1:13" ht="22.55" x14ac:dyDescent="0.35">
      <c r="A41" s="466" t="s">
        <v>239</v>
      </c>
      <c r="E41" s="458">
        <v>100</v>
      </c>
      <c r="F41" s="464" t="s">
        <v>14</v>
      </c>
      <c r="G41" s="461">
        <v>96</v>
      </c>
      <c r="H41" s="464" t="s">
        <v>14</v>
      </c>
    </row>
    <row r="42" spans="1:13" ht="17.55" x14ac:dyDescent="0.25">
      <c r="A42" s="520" t="s">
        <v>459</v>
      </c>
      <c r="E42" s="459">
        <f>E41*10</f>
        <v>1000</v>
      </c>
      <c r="F42" s="465" t="s">
        <v>456</v>
      </c>
      <c r="G42" s="462">
        <f>G41*10</f>
        <v>960</v>
      </c>
      <c r="H42" s="465" t="s">
        <v>378</v>
      </c>
    </row>
    <row r="43" spans="1:13" s="88" customFormat="1" ht="22.55" x14ac:dyDescent="0.35">
      <c r="A43" s="520"/>
      <c r="B43" s="143"/>
      <c r="E43" s="458">
        <v>1</v>
      </c>
      <c r="F43" s="465" t="s">
        <v>201</v>
      </c>
      <c r="G43" s="461">
        <v>1.84</v>
      </c>
      <c r="H43" s="465" t="s">
        <v>201</v>
      </c>
      <c r="L43" s="101"/>
    </row>
    <row r="44" spans="1:13" s="88" customFormat="1" ht="17.55" x14ac:dyDescent="0.25">
      <c r="E44" s="459">
        <f>E$9*E$7</f>
        <v>1</v>
      </c>
      <c r="F44" s="465" t="s">
        <v>441</v>
      </c>
      <c r="G44" s="462">
        <f>G$45*G$43</f>
        <v>11.040000000000001</v>
      </c>
      <c r="H44" s="465" t="s">
        <v>441</v>
      </c>
    </row>
    <row r="45" spans="1:13" s="88" customFormat="1" ht="35.700000000000003" thickBot="1" x14ac:dyDescent="0.3">
      <c r="C45" s="91"/>
      <c r="D45" s="91"/>
      <c r="E45" s="460">
        <v>1</v>
      </c>
      <c r="F45" s="444" t="str">
        <f>CONCATENATE("L ",E40,"/ton input")</f>
        <v>L 100% anti-foam solution/ton input</v>
      </c>
      <c r="G45" s="463">
        <v>6</v>
      </c>
      <c r="H45" s="444" t="str">
        <f>CONCATENATE("L ",G40,"/ton input")</f>
        <v>L 96% H2SO4 solution/ton input</v>
      </c>
    </row>
    <row r="46" spans="1:13" s="88" customFormat="1" ht="21.6" customHeight="1" thickBot="1" x14ac:dyDescent="0.4">
      <c r="A46" s="272" t="s">
        <v>70</v>
      </c>
      <c r="B46" s="295">
        <v>185000000</v>
      </c>
      <c r="C46" s="280">
        <f>B46</f>
        <v>185000000</v>
      </c>
      <c r="D46" s="280"/>
      <c r="E46" s="425">
        <f>($E$44/1000)*$C$46</f>
        <v>185000</v>
      </c>
      <c r="F46" s="155"/>
      <c r="G46" s="425">
        <f>(G$44/1000)*$C$46</f>
        <v>2042400.0000000002</v>
      </c>
      <c r="H46" s="452">
        <f>(J46/(C46+E46+G46))</f>
        <v>0.81051852294735027</v>
      </c>
      <c r="I46" s="282">
        <f>100%-H46</f>
        <v>0.18948147705264973</v>
      </c>
      <c r="J46" s="346">
        <f>(J47+J48)/1000</f>
        <v>151751275.70327273</v>
      </c>
      <c r="K46" s="345"/>
      <c r="L46" s="346">
        <f>(L47+L48)/1000</f>
        <v>35476124.296727277</v>
      </c>
      <c r="M46" s="345"/>
    </row>
    <row r="47" spans="1:13" s="88" customFormat="1" ht="17.55" thickBot="1" x14ac:dyDescent="0.3">
      <c r="A47" s="273" t="s">
        <v>175</v>
      </c>
      <c r="B47" s="384">
        <f>J55/1000</f>
        <v>33604.47105263159</v>
      </c>
      <c r="C47" s="283">
        <f>(C46*1000)-C48</f>
        <v>178340000000</v>
      </c>
      <c r="D47" s="300"/>
      <c r="E47" s="426">
        <f>(E46*1000)-E48</f>
        <v>0</v>
      </c>
      <c r="F47" s="155"/>
      <c r="G47" s="426">
        <f>(G46*1000)-G48</f>
        <v>81696000</v>
      </c>
      <c r="H47" s="472">
        <v>0.85</v>
      </c>
      <c r="I47" s="282">
        <f>100%-H47</f>
        <v>0.15000000000000002</v>
      </c>
      <c r="J47" s="291">
        <f>($C47+$E47+$G47)*H47</f>
        <v>151658441600</v>
      </c>
      <c r="K47" s="293">
        <f>J47/$J$46</f>
        <v>999.38824828428949</v>
      </c>
      <c r="L47" s="291">
        <f>($C47+$E47+$G47)*I47</f>
        <v>26763254400.000004</v>
      </c>
      <c r="M47" s="293">
        <f>L47/$L$46</f>
        <v>754.40186690486235</v>
      </c>
    </row>
    <row r="48" spans="1:13" s="88" customFormat="1" ht="21.3" thickBot="1" x14ac:dyDescent="0.4">
      <c r="A48" s="272" t="s">
        <v>176</v>
      </c>
      <c r="B48" s="295">
        <v>36</v>
      </c>
      <c r="C48" s="280">
        <f>C49+C52</f>
        <v>6660000000</v>
      </c>
      <c r="D48" s="301">
        <f>C48/C46</f>
        <v>36</v>
      </c>
      <c r="E48" s="426">
        <f>E49+E52</f>
        <v>185000000</v>
      </c>
      <c r="F48" s="155"/>
      <c r="G48" s="426">
        <f>G49+G52</f>
        <v>1960704000.0000002</v>
      </c>
      <c r="H48" s="419">
        <f>(J48/(C48+E48+G48))</f>
        <v>1.054249646282992E-2</v>
      </c>
      <c r="I48" s="282">
        <f>100%-H48</f>
        <v>0.9894575035371701</v>
      </c>
      <c r="J48" s="291">
        <f>J49+J52</f>
        <v>92834103.272727281</v>
      </c>
      <c r="K48" s="293">
        <f>J48/$J$46</f>
        <v>0.61175171571045439</v>
      </c>
      <c r="L48" s="291">
        <f>L49+L52</f>
        <v>8712869896.727272</v>
      </c>
      <c r="M48" s="293">
        <f t="shared" ref="M48:M71" si="10">L48/$L$46</f>
        <v>245.59813309513763</v>
      </c>
    </row>
    <row r="49" spans="1:13" s="88" customFormat="1" ht="17.55" thickBot="1" x14ac:dyDescent="0.3">
      <c r="A49" s="273" t="s">
        <v>177</v>
      </c>
      <c r="B49" s="384">
        <f>B48-B52</f>
        <v>21.81818181818182</v>
      </c>
      <c r="C49" s="280">
        <f>C50+C51</f>
        <v>4036363636.3636365</v>
      </c>
      <c r="D49" s="297">
        <f>C49/C46</f>
        <v>21.81818181818182</v>
      </c>
      <c r="E49" s="426">
        <f>E50+E51</f>
        <v>0</v>
      </c>
      <c r="F49" s="155"/>
      <c r="G49" s="426">
        <f>(G46*1000*G41%)</f>
        <v>1960704000.0000002</v>
      </c>
      <c r="H49" s="419">
        <f>(J49/(C49+E49+G49))</f>
        <v>1.2942494077105321E-2</v>
      </c>
      <c r="I49" s="282">
        <f>100%-H49</f>
        <v>0.98705750592289465</v>
      </c>
      <c r="J49" s="291">
        <f>J50+J51</f>
        <v>77617012.363636374</v>
      </c>
      <c r="K49" s="293">
        <f t="shared" ref="K49:K72" si="11">J49/$J$46</f>
        <v>0.51147518861986385</v>
      </c>
      <c r="L49" s="291">
        <f>L50+L51</f>
        <v>5919450624</v>
      </c>
      <c r="M49" s="293">
        <f t="shared" si="10"/>
        <v>166.85730872089874</v>
      </c>
    </row>
    <row r="50" spans="1:13" s="88" customFormat="1" ht="17.55" thickBot="1" x14ac:dyDescent="0.3">
      <c r="A50" s="272" t="s">
        <v>178</v>
      </c>
      <c r="B50" s="385">
        <f>B57+B64+B67+0.156+0.095+0.72+1.6+0.11</f>
        <v>2.9832736842105265</v>
      </c>
      <c r="C50" s="283">
        <f>D50*C46</f>
        <v>2018181818.1818182</v>
      </c>
      <c r="D50" s="300">
        <f>1/2*B49</f>
        <v>10.90909090909091</v>
      </c>
      <c r="E50" s="426">
        <v>0</v>
      </c>
      <c r="F50" s="155"/>
      <c r="G50" s="426">
        <f>G49*5%</f>
        <v>98035200.000000015</v>
      </c>
      <c r="H50" s="472">
        <v>0</v>
      </c>
      <c r="I50" s="282">
        <f t="shared" ref="I50:I72" si="12">100%-H50</f>
        <v>1</v>
      </c>
      <c r="J50" s="291">
        <f>($C50+$E50+$G50)*H50</f>
        <v>0</v>
      </c>
      <c r="K50" s="293">
        <f t="shared" si="11"/>
        <v>0</v>
      </c>
      <c r="L50" s="291">
        <f>($C50+$E50+$G50)*I50</f>
        <v>2116217018.1818182</v>
      </c>
      <c r="M50" s="293">
        <f t="shared" si="10"/>
        <v>59.651866153176215</v>
      </c>
    </row>
    <row r="51" spans="1:13" s="88" customFormat="1" ht="17.55" thickBot="1" x14ac:dyDescent="0.3">
      <c r="A51" s="273" t="s">
        <v>179</v>
      </c>
      <c r="B51" s="385">
        <f>B49-B50</f>
        <v>18.834908133971293</v>
      </c>
      <c r="C51" s="302">
        <f>D51*C46</f>
        <v>2018181818.1818182</v>
      </c>
      <c r="D51" s="300">
        <f>1/2*B49</f>
        <v>10.90909090909091</v>
      </c>
      <c r="E51" s="426">
        <v>0</v>
      </c>
      <c r="F51" s="155"/>
      <c r="G51" s="426">
        <f>G49*95%</f>
        <v>1862668800.0000002</v>
      </c>
      <c r="H51" s="473">
        <v>0.02</v>
      </c>
      <c r="I51" s="282">
        <f t="shared" si="12"/>
        <v>0.98</v>
      </c>
      <c r="J51" s="291">
        <f>($C51+$E51+$G51)*H51</f>
        <v>77617012.363636374</v>
      </c>
      <c r="K51" s="293">
        <f t="shared" si="11"/>
        <v>0.51147518861986385</v>
      </c>
      <c r="L51" s="291">
        <f>($C51+$E51+$G51)*I51</f>
        <v>3803233605.818182</v>
      </c>
      <c r="M51" s="293">
        <f t="shared" si="10"/>
        <v>107.20544256772253</v>
      </c>
    </row>
    <row r="52" spans="1:13" s="88" customFormat="1" ht="21.3" thickBot="1" x14ac:dyDescent="0.4">
      <c r="A52" s="272" t="s">
        <v>180</v>
      </c>
      <c r="B52" s="467">
        <f>(26/66)*B48</f>
        <v>14.181818181818182</v>
      </c>
      <c r="C52" s="303">
        <f>C53+C54</f>
        <v>2623636363.6363635</v>
      </c>
      <c r="D52" s="301">
        <f>C52/C46</f>
        <v>14.181818181818182</v>
      </c>
      <c r="E52" s="422">
        <f>E53+E54</f>
        <v>185000000</v>
      </c>
      <c r="F52" s="155"/>
      <c r="G52" s="422">
        <f>G53+G54</f>
        <v>0</v>
      </c>
      <c r="H52" s="419">
        <f>(J52/(C52+E52+G52))</f>
        <v>5.4179640718562874E-3</v>
      </c>
      <c r="I52" s="282">
        <f t="shared" si="12"/>
        <v>0.99458203592814376</v>
      </c>
      <c r="J52" s="291">
        <f>J53+J54</f>
        <v>15217090.909090908</v>
      </c>
      <c r="K52" s="293">
        <f t="shared" si="11"/>
        <v>0.10027652709059058</v>
      </c>
      <c r="L52" s="291">
        <f>L53+L54</f>
        <v>2793419272.7272725</v>
      </c>
      <c r="M52" s="293">
        <f t="shared" si="10"/>
        <v>78.740824374238912</v>
      </c>
    </row>
    <row r="53" spans="1:13" s="88" customFormat="1" ht="17.55" thickBot="1" x14ac:dyDescent="0.3">
      <c r="A53" s="273" t="s">
        <v>181</v>
      </c>
      <c r="B53" s="265"/>
      <c r="C53" s="302">
        <f>D53*C46</f>
        <v>1862781818.181818</v>
      </c>
      <c r="D53" s="300">
        <f>71%*B52</f>
        <v>10.069090909090908</v>
      </c>
      <c r="E53" s="422">
        <f>$E$42*E$46/$E$44</f>
        <v>185000000</v>
      </c>
      <c r="F53" s="155"/>
      <c r="G53" s="422">
        <v>0</v>
      </c>
      <c r="H53" s="472">
        <v>0</v>
      </c>
      <c r="I53" s="282">
        <f t="shared" si="12"/>
        <v>1</v>
      </c>
      <c r="J53" s="291">
        <f>($C53+$E53+$G53)*H53</f>
        <v>0</v>
      </c>
      <c r="K53" s="293">
        <f t="shared" si="11"/>
        <v>0</v>
      </c>
      <c r="L53" s="291">
        <f>($C53+$E53+$G53)*I53</f>
        <v>2047781818.181818</v>
      </c>
      <c r="M53" s="293">
        <f t="shared" si="10"/>
        <v>57.722816648568589</v>
      </c>
    </row>
    <row r="54" spans="1:13" s="88" customFormat="1" ht="17.55" thickBot="1" x14ac:dyDescent="0.3">
      <c r="A54" s="272" t="s">
        <v>182</v>
      </c>
      <c r="B54" s="265"/>
      <c r="C54" s="302">
        <f>D54*C46</f>
        <v>760854545.45454538</v>
      </c>
      <c r="D54" s="300">
        <f>29%*B52</f>
        <v>4.1127272727272723</v>
      </c>
      <c r="E54" s="422">
        <v>0</v>
      </c>
      <c r="F54" s="155"/>
      <c r="G54" s="422">
        <v>0</v>
      </c>
      <c r="H54" s="473">
        <v>0.02</v>
      </c>
      <c r="I54" s="282">
        <f t="shared" si="12"/>
        <v>0.98</v>
      </c>
      <c r="J54" s="291">
        <f>($C54+$E54+$G54)*H54</f>
        <v>15217090.909090908</v>
      </c>
      <c r="K54" s="293">
        <f t="shared" si="11"/>
        <v>0.10027652709059058</v>
      </c>
      <c r="L54" s="291">
        <f>($C54+$E54+$G54)*I54</f>
        <v>745637454.5454545</v>
      </c>
      <c r="M54" s="293">
        <f t="shared" si="10"/>
        <v>21.018007725670323</v>
      </c>
    </row>
    <row r="55" spans="1:13" s="88" customFormat="1" ht="21.3" thickBot="1" x14ac:dyDescent="0.4">
      <c r="A55" s="273" t="s">
        <v>183</v>
      </c>
      <c r="B55" s="295">
        <v>5.45</v>
      </c>
      <c r="C55" s="303">
        <f>C56+C59</f>
        <v>1008250000</v>
      </c>
      <c r="D55" s="299">
        <f>C55/C46</f>
        <v>5.45</v>
      </c>
      <c r="E55" s="422">
        <v>0</v>
      </c>
      <c r="F55" s="154"/>
      <c r="G55" s="422">
        <v>0</v>
      </c>
      <c r="H55" s="419">
        <f>(J55/(C55+E55+G55))</f>
        <v>3.3329502655721883E-2</v>
      </c>
      <c r="I55" s="282">
        <f t="shared" si="12"/>
        <v>0.96667049734427812</v>
      </c>
      <c r="J55" s="291">
        <f>J56+J59</f>
        <v>33604471.052631587</v>
      </c>
      <c r="K55" s="293">
        <f t="shared" si="11"/>
        <v>0.22144440563610274</v>
      </c>
      <c r="L55" s="291">
        <f>L56+L59</f>
        <v>974645528.94736838</v>
      </c>
      <c r="M55" s="293">
        <f t="shared" si="10"/>
        <v>27.473280925371004</v>
      </c>
    </row>
    <row r="56" spans="1:13" s="88" customFormat="1" ht="17.55" thickBot="1" x14ac:dyDescent="0.3">
      <c r="A56" s="272" t="s">
        <v>184</v>
      </c>
      <c r="B56" s="265">
        <f>D58/0.95</f>
        <v>5.1684210526315795</v>
      </c>
      <c r="C56" s="303">
        <f>C57+C58</f>
        <v>956157894.73684216</v>
      </c>
      <c r="D56" s="296">
        <f>C56/C46</f>
        <v>5.1684210526315795</v>
      </c>
      <c r="E56" s="422">
        <v>0</v>
      </c>
      <c r="F56" s="155"/>
      <c r="G56" s="422">
        <v>0</v>
      </c>
      <c r="H56" s="419">
        <f>(J56/(C56+E56+G56))</f>
        <v>3.3500000000000009E-2</v>
      </c>
      <c r="I56" s="282">
        <f t="shared" si="12"/>
        <v>0.96650000000000003</v>
      </c>
      <c r="J56" s="291">
        <f>J57+J58</f>
        <v>32031289.473684218</v>
      </c>
      <c r="K56" s="293">
        <f t="shared" si="11"/>
        <v>0.21107756310607026</v>
      </c>
      <c r="L56" s="291">
        <f>L57+L58</f>
        <v>924126605.26315796</v>
      </c>
      <c r="M56" s="293">
        <f t="shared" si="10"/>
        <v>26.049254916733108</v>
      </c>
    </row>
    <row r="57" spans="1:13" s="88" customFormat="1" ht="17.55" thickBot="1" x14ac:dyDescent="0.3">
      <c r="A57" s="273" t="s">
        <v>185</v>
      </c>
      <c r="B57" s="265"/>
      <c r="C57" s="303">
        <f>D57*C46</f>
        <v>47807894.736842178</v>
      </c>
      <c r="D57" s="296">
        <f>B56-D58</f>
        <v>0.25842105263157933</v>
      </c>
      <c r="E57" s="422">
        <v>0</v>
      </c>
      <c r="F57" s="154"/>
      <c r="G57" s="422">
        <v>0</v>
      </c>
      <c r="H57" s="473">
        <v>0.1</v>
      </c>
      <c r="I57" s="282">
        <f t="shared" si="12"/>
        <v>0.9</v>
      </c>
      <c r="J57" s="291">
        <f>($C57+$E57+$G57)*H57</f>
        <v>4780789.4736842178</v>
      </c>
      <c r="K57" s="293">
        <f t="shared" si="11"/>
        <v>3.1504113896428439E-2</v>
      </c>
      <c r="L57" s="291">
        <f>($C57+$E57+$G57)*I57</f>
        <v>43027105.263157964</v>
      </c>
      <c r="M57" s="293">
        <f t="shared" si="10"/>
        <v>1.2128468404066133</v>
      </c>
    </row>
    <row r="58" spans="1:13" s="88" customFormat="1" ht="21.3" thickBot="1" x14ac:dyDescent="0.4">
      <c r="A58" s="272" t="s">
        <v>186</v>
      </c>
      <c r="B58" s="295">
        <v>4.91</v>
      </c>
      <c r="C58" s="302">
        <f>D58*C46</f>
        <v>908350000</v>
      </c>
      <c r="D58" s="299">
        <f>B58</f>
        <v>4.91</v>
      </c>
      <c r="E58" s="422">
        <v>0</v>
      </c>
      <c r="F58" s="154"/>
      <c r="G58" s="422">
        <v>0</v>
      </c>
      <c r="H58" s="492">
        <v>0.03</v>
      </c>
      <c r="I58" s="282">
        <f t="shared" si="12"/>
        <v>0.97</v>
      </c>
      <c r="J58" s="291">
        <f>($C58+$E58+$G58)*H58</f>
        <v>27250500</v>
      </c>
      <c r="K58" s="293">
        <f t="shared" si="11"/>
        <v>0.17957344920964183</v>
      </c>
      <c r="L58" s="291">
        <f>($C58+$E58+$G58)*I58</f>
        <v>881099500</v>
      </c>
      <c r="M58" s="293">
        <f t="shared" si="10"/>
        <v>24.836408076326496</v>
      </c>
    </row>
    <row r="59" spans="1:13" s="88" customFormat="1" ht="17.55" thickBot="1" x14ac:dyDescent="0.3">
      <c r="A59" s="273" t="s">
        <v>187</v>
      </c>
      <c r="B59" s="265">
        <f>B55-B56</f>
        <v>0.28157894736842071</v>
      </c>
      <c r="C59" s="303">
        <f>C60+C61</f>
        <v>52092105.26315783</v>
      </c>
      <c r="D59" s="296">
        <f>C59/C46</f>
        <v>0.28157894736842071</v>
      </c>
      <c r="E59" s="422">
        <v>0</v>
      </c>
      <c r="F59" s="154"/>
      <c r="G59" s="422">
        <v>0</v>
      </c>
      <c r="H59" s="419">
        <f>(J59/(C59+E59+G59))</f>
        <v>3.0200000000000005E-2</v>
      </c>
      <c r="I59" s="282">
        <f t="shared" si="12"/>
        <v>0.9698</v>
      </c>
      <c r="J59" s="291">
        <f>J60+J61</f>
        <v>1573181.5789473667</v>
      </c>
      <c r="K59" s="293">
        <f t="shared" si="11"/>
        <v>1.0366842530032443E-2</v>
      </c>
      <c r="L59" s="291">
        <f>L60+L61</f>
        <v>50518923.684210464</v>
      </c>
      <c r="M59" s="293">
        <f t="shared" si="10"/>
        <v>1.4240260086378971</v>
      </c>
    </row>
    <row r="60" spans="1:13" s="88" customFormat="1" ht="17.55" thickBot="1" x14ac:dyDescent="0.3">
      <c r="A60" s="272" t="s">
        <v>188</v>
      </c>
      <c r="B60" s="265"/>
      <c r="C60" s="302">
        <f>D60*C46</f>
        <v>17711315.789473664</v>
      </c>
      <c r="D60" s="298">
        <f>0.34*B59</f>
        <v>9.5736842105263051E-2</v>
      </c>
      <c r="E60" s="422">
        <v>0</v>
      </c>
      <c r="F60" s="155"/>
      <c r="G60" s="422">
        <v>0</v>
      </c>
      <c r="H60" s="472">
        <v>0.05</v>
      </c>
      <c r="I60" s="282">
        <f t="shared" si="12"/>
        <v>0.95</v>
      </c>
      <c r="J60" s="291">
        <f>($C60+$E60+$G60)*H60</f>
        <v>885565.78947368322</v>
      </c>
      <c r="K60" s="293">
        <f t="shared" si="11"/>
        <v>5.8356398347864744E-3</v>
      </c>
      <c r="L60" s="291">
        <f>($C60+$E60+$G60)*I60</f>
        <v>16825749.999999981</v>
      </c>
      <c r="M60" s="293">
        <f t="shared" si="10"/>
        <v>0.47428377066409649</v>
      </c>
    </row>
    <row r="61" spans="1:13" s="88" customFormat="1" ht="17.55" thickBot="1" x14ac:dyDescent="0.3">
      <c r="A61" s="273" t="s">
        <v>189</v>
      </c>
      <c r="B61" s="265"/>
      <c r="C61" s="302">
        <f>D61*C46</f>
        <v>34380789.473684169</v>
      </c>
      <c r="D61" s="298">
        <f>0.66*B59</f>
        <v>0.18584210526315767</v>
      </c>
      <c r="E61" s="422">
        <v>0</v>
      </c>
      <c r="F61" s="155"/>
      <c r="G61" s="422">
        <v>0</v>
      </c>
      <c r="H61" s="472">
        <v>0.02</v>
      </c>
      <c r="I61" s="282">
        <f t="shared" si="12"/>
        <v>0.98</v>
      </c>
      <c r="J61" s="291">
        <f>($C61+$E61+$G61)*H61</f>
        <v>687615.78947368346</v>
      </c>
      <c r="K61" s="293">
        <f t="shared" si="11"/>
        <v>4.5312026952459682E-3</v>
      </c>
      <c r="L61" s="291">
        <f>($C61+$E61+$G61)*I61</f>
        <v>33693173.684210487</v>
      </c>
      <c r="M61" s="293">
        <f t="shared" si="10"/>
        <v>0.94974223797380053</v>
      </c>
    </row>
    <row r="62" spans="1:13" s="88" customFormat="1" ht="21.3" thickBot="1" x14ac:dyDescent="0.4">
      <c r="A62" s="272" t="s">
        <v>190</v>
      </c>
      <c r="B62" s="295">
        <v>0.4</v>
      </c>
      <c r="C62" s="303">
        <f>C63+C66</f>
        <v>74000000.000000015</v>
      </c>
      <c r="D62" s="299">
        <f>C62/C46</f>
        <v>0.40000000000000008</v>
      </c>
      <c r="E62" s="422">
        <v>0</v>
      </c>
      <c r="F62" s="154"/>
      <c r="G62" s="422">
        <v>0</v>
      </c>
      <c r="H62" s="419">
        <f>(J62/(C62+E62+G62))</f>
        <v>4.8863157894736831E-3</v>
      </c>
      <c r="I62" s="282">
        <f t="shared" si="12"/>
        <v>0.99511368421052637</v>
      </c>
      <c r="J62" s="291">
        <f>J63+J66</f>
        <v>361587.36842105264</v>
      </c>
      <c r="K62" s="293">
        <f t="shared" si="11"/>
        <v>2.3827632864720262E-3</v>
      </c>
      <c r="L62" s="291">
        <f>L63+L66</f>
        <v>73638412.631578952</v>
      </c>
      <c r="M62" s="293">
        <f t="shared" si="10"/>
        <v>2.0757175168193949</v>
      </c>
    </row>
    <row r="63" spans="1:13" s="88" customFormat="1" ht="17.55" thickBot="1" x14ac:dyDescent="0.3">
      <c r="A63" s="273" t="s">
        <v>191</v>
      </c>
      <c r="B63" s="384">
        <f>B65/0.19</f>
        <v>3.7894736842105259E-2</v>
      </c>
      <c r="C63" s="303">
        <f>C64+C65</f>
        <v>7010526.3157894732</v>
      </c>
      <c r="D63" s="296">
        <f>C63/C46</f>
        <v>3.7894736842105259E-2</v>
      </c>
      <c r="E63" s="422">
        <v>0</v>
      </c>
      <c r="F63" s="155"/>
      <c r="G63" s="422">
        <v>0</v>
      </c>
      <c r="H63" s="419">
        <f>(J63/(C63+E63+G63))</f>
        <v>3.8000000000000004E-3</v>
      </c>
      <c r="I63" s="282">
        <f t="shared" si="12"/>
        <v>0.99619999999999997</v>
      </c>
      <c r="J63" s="291">
        <f>J64+J65</f>
        <v>26640</v>
      </c>
      <c r="K63" s="293">
        <f t="shared" si="11"/>
        <v>1.7555041877928326E-4</v>
      </c>
      <c r="L63" s="291">
        <f>L64+L65</f>
        <v>6983886.3157894732</v>
      </c>
      <c r="M63" s="293">
        <f t="shared" si="10"/>
        <v>0.19686159224652808</v>
      </c>
    </row>
    <row r="64" spans="1:13" s="88" customFormat="1" ht="17.55" thickBot="1" x14ac:dyDescent="0.3">
      <c r="A64" s="272" t="s">
        <v>192</v>
      </c>
      <c r="B64" s="385">
        <f>B63-B65</f>
        <v>3.0694736842105261E-2</v>
      </c>
      <c r="C64" s="303">
        <f>D64*C46</f>
        <v>5678526.3157894732</v>
      </c>
      <c r="D64" s="296">
        <f>B64</f>
        <v>3.0694736842105261E-2</v>
      </c>
      <c r="E64" s="422">
        <v>0</v>
      </c>
      <c r="F64" s="155"/>
      <c r="G64" s="422">
        <v>0</v>
      </c>
      <c r="H64" s="472">
        <v>0</v>
      </c>
      <c r="I64" s="282">
        <f t="shared" si="12"/>
        <v>1</v>
      </c>
      <c r="J64" s="291">
        <f>($C64+$E64+$G64)*H64</f>
        <v>0</v>
      </c>
      <c r="K64" s="293">
        <f t="shared" si="11"/>
        <v>0</v>
      </c>
      <c r="L64" s="291">
        <f>($C64+$E64+$G64)*I64</f>
        <v>5678526.3157894732</v>
      </c>
      <c r="M64" s="293">
        <f t="shared" si="10"/>
        <v>0.16006614105569941</v>
      </c>
    </row>
    <row r="65" spans="1:13" s="88" customFormat="1" ht="17.55" thickBot="1" x14ac:dyDescent="0.3">
      <c r="A65" s="273" t="s">
        <v>193</v>
      </c>
      <c r="B65" s="385">
        <f>0.018*B62</f>
        <v>7.1999999999999998E-3</v>
      </c>
      <c r="C65" s="302">
        <f>D65*C46</f>
        <v>1332000</v>
      </c>
      <c r="D65" s="298">
        <f>B65</f>
        <v>7.1999999999999998E-3</v>
      </c>
      <c r="E65" s="422">
        <v>0</v>
      </c>
      <c r="F65" s="155"/>
      <c r="G65" s="422">
        <v>0</v>
      </c>
      <c r="H65" s="475">
        <v>0.02</v>
      </c>
      <c r="I65" s="282">
        <f t="shared" si="12"/>
        <v>0.98</v>
      </c>
      <c r="J65" s="291">
        <f>($C65+$E65+$G65)*H65</f>
        <v>26640</v>
      </c>
      <c r="K65" s="294">
        <f t="shared" si="11"/>
        <v>1.7555041877928326E-4</v>
      </c>
      <c r="L65" s="291">
        <f>($C65+$E65+$G65)*I65</f>
        <v>1305360</v>
      </c>
      <c r="M65" s="294">
        <f t="shared" si="10"/>
        <v>3.6795451190828679E-2</v>
      </c>
    </row>
    <row r="66" spans="1:13" s="88" customFormat="1" ht="17.55" thickBot="1" x14ac:dyDescent="0.3">
      <c r="A66" s="272" t="s">
        <v>194</v>
      </c>
      <c r="B66" s="385">
        <f>B62-B63</f>
        <v>0.36210526315789476</v>
      </c>
      <c r="C66" s="303">
        <f>C67+C68</f>
        <v>66989473.684210539</v>
      </c>
      <c r="D66" s="296">
        <f>C66/C46</f>
        <v>0.36210526315789482</v>
      </c>
      <c r="E66" s="422">
        <v>0</v>
      </c>
      <c r="F66" s="154"/>
      <c r="G66" s="422">
        <v>0</v>
      </c>
      <c r="H66" s="419">
        <f>(J66/(C66+E66+G66))</f>
        <v>4.9999999999999992E-3</v>
      </c>
      <c r="I66" s="282">
        <f t="shared" si="12"/>
        <v>0.995</v>
      </c>
      <c r="J66" s="291">
        <f>J67+J68</f>
        <v>334947.36842105264</v>
      </c>
      <c r="K66" s="293">
        <f t="shared" si="11"/>
        <v>2.2072128676927428E-3</v>
      </c>
      <c r="L66" s="291">
        <f>L67+L68</f>
        <v>66654526.315789483</v>
      </c>
      <c r="M66" s="293">
        <f t="shared" si="10"/>
        <v>1.8788559245728671</v>
      </c>
    </row>
    <row r="67" spans="1:13" s="88" customFormat="1" ht="17.55" thickBot="1" x14ac:dyDescent="0.3">
      <c r="A67" s="273" t="s">
        <v>195</v>
      </c>
      <c r="B67" s="385">
        <f>B66*0.75</f>
        <v>0.27157894736842109</v>
      </c>
      <c r="C67" s="302">
        <f>D67*C46</f>
        <v>50242105.263157904</v>
      </c>
      <c r="D67" s="298">
        <f>B67</f>
        <v>0.27157894736842109</v>
      </c>
      <c r="E67" s="422">
        <v>0</v>
      </c>
      <c r="F67" s="155"/>
      <c r="G67" s="422">
        <v>0</v>
      </c>
      <c r="H67" s="473">
        <v>0</v>
      </c>
      <c r="I67" s="282">
        <f t="shared" si="12"/>
        <v>1</v>
      </c>
      <c r="J67" s="291">
        <f>($C67+$E67+$G67)*H67</f>
        <v>0</v>
      </c>
      <c r="K67" s="293">
        <f t="shared" si="11"/>
        <v>0</v>
      </c>
      <c r="L67" s="291">
        <f>($C67+$E67+$G67)*I67</f>
        <v>50242105.263157904</v>
      </c>
      <c r="M67" s="293">
        <f t="shared" si="10"/>
        <v>1.4162230587232667</v>
      </c>
    </row>
    <row r="68" spans="1:13" s="88" customFormat="1" ht="17.55" thickBot="1" x14ac:dyDescent="0.3">
      <c r="A68" s="272" t="s">
        <v>196</v>
      </c>
      <c r="B68" s="385">
        <f>B66*0.25</f>
        <v>9.0526315789473691E-2</v>
      </c>
      <c r="C68" s="302">
        <f>D68*C46</f>
        <v>16747368.421052633</v>
      </c>
      <c r="D68" s="298">
        <f>B68</f>
        <v>9.0526315789473691E-2</v>
      </c>
      <c r="E68" s="422">
        <v>0</v>
      </c>
      <c r="F68" s="155"/>
      <c r="G68" s="422">
        <v>0</v>
      </c>
      <c r="H68" s="476">
        <v>0.02</v>
      </c>
      <c r="I68" s="282">
        <f t="shared" si="12"/>
        <v>0.98</v>
      </c>
      <c r="J68" s="291">
        <f>($C68+$E68+$G68)*H68</f>
        <v>334947.36842105264</v>
      </c>
      <c r="K68" s="293">
        <f t="shared" si="11"/>
        <v>2.2072128676927428E-3</v>
      </c>
      <c r="L68" s="291">
        <f>($C68+$E68+$G68)*I68</f>
        <v>16412421.052631579</v>
      </c>
      <c r="M68" s="293">
        <f t="shared" si="10"/>
        <v>0.46263286584960039</v>
      </c>
    </row>
    <row r="69" spans="1:13" s="88" customFormat="1" ht="21.3" thickBot="1" x14ac:dyDescent="0.4">
      <c r="A69" s="273" t="s">
        <v>197</v>
      </c>
      <c r="B69" s="295">
        <v>5.38</v>
      </c>
      <c r="C69" s="303">
        <f>C70</f>
        <v>995300000</v>
      </c>
      <c r="D69" s="299">
        <f>C69/C46</f>
        <v>5.38</v>
      </c>
      <c r="E69" s="422">
        <v>0</v>
      </c>
      <c r="F69" s="154"/>
      <c r="G69" s="422">
        <v>0</v>
      </c>
      <c r="H69" s="419">
        <f>(J69/(C69+E69+G69))</f>
        <v>4.3E-3</v>
      </c>
      <c r="I69" s="282">
        <f t="shared" si="12"/>
        <v>0.99570000000000003</v>
      </c>
      <c r="J69" s="291">
        <f>J70</f>
        <v>4279790</v>
      </c>
      <c r="K69" s="293">
        <f t="shared" si="11"/>
        <v>2.8202662416944021E-2</v>
      </c>
      <c r="L69" s="291">
        <f>L70</f>
        <v>991020210</v>
      </c>
      <c r="M69" s="293">
        <f t="shared" si="10"/>
        <v>27.934849977155565</v>
      </c>
    </row>
    <row r="70" spans="1:13" s="88" customFormat="1" ht="17.55" thickBot="1" x14ac:dyDescent="0.3">
      <c r="A70" s="272" t="s">
        <v>198</v>
      </c>
      <c r="B70" s="265"/>
      <c r="C70" s="303">
        <f>C71+C72</f>
        <v>995300000</v>
      </c>
      <c r="D70" s="296">
        <f>C70/C46</f>
        <v>5.38</v>
      </c>
      <c r="E70" s="422">
        <v>0</v>
      </c>
      <c r="F70" s="155"/>
      <c r="G70" s="422">
        <v>0</v>
      </c>
      <c r="H70" s="419">
        <f>(J70/(C70+E70+G70))</f>
        <v>4.3E-3</v>
      </c>
      <c r="I70" s="282">
        <f t="shared" si="12"/>
        <v>0.99570000000000003</v>
      </c>
      <c r="J70" s="291">
        <f>J71+J72</f>
        <v>4279790</v>
      </c>
      <c r="K70" s="293">
        <f t="shared" si="11"/>
        <v>2.8202662416944021E-2</v>
      </c>
      <c r="L70" s="291">
        <f>L71+L72</f>
        <v>991020210</v>
      </c>
      <c r="M70" s="293">
        <f t="shared" si="10"/>
        <v>27.934849977155565</v>
      </c>
    </row>
    <row r="71" spans="1:13" s="88" customFormat="1" ht="17.55" thickBot="1" x14ac:dyDescent="0.3">
      <c r="A71" s="273" t="s">
        <v>199</v>
      </c>
      <c r="B71" s="266"/>
      <c r="C71" s="303">
        <f>D71*C46</f>
        <v>139342000.00000003</v>
      </c>
      <c r="D71" s="296">
        <f>0.14*B69</f>
        <v>0.75320000000000009</v>
      </c>
      <c r="E71" s="422">
        <v>0</v>
      </c>
      <c r="F71" s="155"/>
      <c r="G71" s="422">
        <v>0</v>
      </c>
      <c r="H71" s="473">
        <v>0</v>
      </c>
      <c r="I71" s="282">
        <f t="shared" si="12"/>
        <v>1</v>
      </c>
      <c r="J71" s="291">
        <f>($C71+$E71+$G71)*H71</f>
        <v>0</v>
      </c>
      <c r="K71" s="293">
        <f t="shared" si="11"/>
        <v>0</v>
      </c>
      <c r="L71" s="291">
        <f>($C71+$E71+$G71)*I71</f>
        <v>139342000.00000003</v>
      </c>
      <c r="M71" s="293">
        <f t="shared" si="10"/>
        <v>3.927768400925761</v>
      </c>
    </row>
    <row r="72" spans="1:13" s="88" customFormat="1" ht="17.55" thickBot="1" x14ac:dyDescent="0.3">
      <c r="A72" s="272" t="s">
        <v>200</v>
      </c>
      <c r="B72" s="266"/>
      <c r="C72" s="302">
        <f>D72*C46</f>
        <v>855958000</v>
      </c>
      <c r="D72" s="298">
        <f>0.86*B69</f>
        <v>4.6268000000000002</v>
      </c>
      <c r="E72" s="423">
        <v>0</v>
      </c>
      <c r="F72" s="155"/>
      <c r="G72" s="423">
        <v>0</v>
      </c>
      <c r="H72" s="476">
        <v>5.0000000000000001E-3</v>
      </c>
      <c r="I72" s="282">
        <f t="shared" si="12"/>
        <v>0.995</v>
      </c>
      <c r="J72" s="291">
        <f>($C72+$E72+$G72)*H72</f>
        <v>4279790</v>
      </c>
      <c r="K72" s="293">
        <f t="shared" si="11"/>
        <v>2.8202662416944021E-2</v>
      </c>
      <c r="L72" s="291">
        <f>($C72+$E72+$G72)*I72</f>
        <v>851678210</v>
      </c>
      <c r="M72" s="293">
        <f>L72/$L$46</f>
        <v>24.007081576229805</v>
      </c>
    </row>
    <row r="73" spans="1:13" s="88" customFormat="1" x14ac:dyDescent="0.25">
      <c r="C73" s="92"/>
      <c r="D73" s="92"/>
      <c r="F73" s="90"/>
      <c r="G73" s="90"/>
      <c r="H73" s="90"/>
      <c r="I73" s="90"/>
    </row>
    <row r="74" spans="1:13" s="365" customFormat="1" ht="15.05" thickBot="1" x14ac:dyDescent="0.3">
      <c r="C74" s="453"/>
      <c r="D74" s="453"/>
      <c r="F74" s="323"/>
      <c r="G74" s="323"/>
      <c r="H74" s="323"/>
      <c r="I74" s="323"/>
    </row>
    <row r="75" spans="1:13" s="88" customFormat="1" ht="15.05" x14ac:dyDescent="0.3">
      <c r="C75" s="92"/>
      <c r="D75" s="92"/>
      <c r="K75" s="101"/>
      <c r="M75" s="101"/>
    </row>
  </sheetData>
  <mergeCells count="10">
    <mergeCell ref="J1:K1"/>
    <mergeCell ref="E4:F4"/>
    <mergeCell ref="L1:M1"/>
    <mergeCell ref="A5:A6"/>
    <mergeCell ref="A42:A43"/>
    <mergeCell ref="E40:F40"/>
    <mergeCell ref="G40:H40"/>
    <mergeCell ref="C1:D1"/>
    <mergeCell ref="E1:G1"/>
    <mergeCell ref="H1:I1"/>
  </mergeCells>
  <conditionalFormatting sqref="B12">
    <cfRule type="cellIs" dxfId="9" priority="2" operator="greaterThan">
      <formula>40</formula>
    </cfRule>
  </conditionalFormatting>
  <conditionalFormatting sqref="B48">
    <cfRule type="cellIs" dxfId="8" priority="1" operator="greaterThan">
      <formula>40</formula>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AFAB1-20B2-4C5B-BD98-F24E029E65FA}">
  <dimension ref="A1:M75"/>
  <sheetViews>
    <sheetView zoomScale="60" zoomScaleNormal="60" workbookViewId="0">
      <pane xSplit="1" ySplit="3" topLeftCell="E26" activePane="bottomRight" state="frozen"/>
      <selection pane="topRight" activeCell="B1" sqref="B1"/>
      <selection pane="bottomLeft" activeCell="A4" sqref="A4"/>
      <selection pane="bottomRight" activeCell="H47" sqref="H47"/>
    </sheetView>
  </sheetViews>
  <sheetFormatPr defaultColWidth="10.796875" defaultRowHeight="14.4" x14ac:dyDescent="0.25"/>
  <cols>
    <col min="1" max="1" width="30.8984375" style="93" customWidth="1"/>
    <col min="2" max="2" width="32.5" style="329" customWidth="1"/>
    <col min="3" max="3" width="18" style="329" customWidth="1"/>
    <col min="4" max="4" width="24.5" style="329" customWidth="1"/>
    <col min="5" max="5" width="18.09765625" style="329" customWidth="1"/>
    <col min="6" max="6" width="22.09765625" style="329" customWidth="1"/>
    <col min="7" max="7" width="20.296875" style="329" customWidth="1"/>
    <col min="8" max="8" width="24.296875" style="329" customWidth="1"/>
    <col min="9" max="9" width="24.5" style="329" customWidth="1"/>
    <col min="10" max="10" width="21.69921875" style="329" customWidth="1"/>
    <col min="11" max="11" width="22.69921875" style="329" customWidth="1"/>
    <col min="12" max="12" width="25" style="329" customWidth="1"/>
    <col min="13" max="13" width="23.69921875" style="329" customWidth="1"/>
    <col min="14" max="16384" width="10.796875" style="329"/>
  </cols>
  <sheetData>
    <row r="1" spans="1:13" ht="27.55" customHeight="1" thickBot="1" x14ac:dyDescent="0.5">
      <c r="A1" s="271"/>
      <c r="B1" s="295" t="s">
        <v>359</v>
      </c>
      <c r="C1" s="496" t="s">
        <v>363</v>
      </c>
      <c r="D1" s="497"/>
      <c r="E1" s="518" t="s">
        <v>364</v>
      </c>
      <c r="F1" s="513"/>
      <c r="G1" s="521"/>
      <c r="H1" s="498" t="s">
        <v>144</v>
      </c>
      <c r="I1" s="499"/>
      <c r="J1" s="506" t="s">
        <v>248</v>
      </c>
      <c r="K1" s="509"/>
      <c r="L1" s="506" t="s">
        <v>249</v>
      </c>
      <c r="M1" s="509"/>
    </row>
    <row r="2" spans="1:13" ht="50.1" x14ac:dyDescent="0.25">
      <c r="A2" s="329"/>
      <c r="B2" s="332" t="s">
        <v>368</v>
      </c>
      <c r="C2" s="333" t="s">
        <v>171</v>
      </c>
      <c r="D2" s="334" t="s">
        <v>360</v>
      </c>
      <c r="H2" s="366" t="s">
        <v>454</v>
      </c>
      <c r="I2" s="366" t="s">
        <v>455</v>
      </c>
      <c r="J2" s="337" t="s">
        <v>1</v>
      </c>
      <c r="K2" s="338" t="s">
        <v>113</v>
      </c>
      <c r="L2" s="337" t="s">
        <v>1</v>
      </c>
      <c r="M2" s="338" t="s">
        <v>113</v>
      </c>
    </row>
    <row r="3" spans="1:13" ht="52.3" customHeight="1" thickBot="1" x14ac:dyDescent="0.4">
      <c r="A3" s="383"/>
      <c r="B3" s="478" t="s">
        <v>461</v>
      </c>
      <c r="C3" s="322"/>
      <c r="D3" s="276" t="s">
        <v>130</v>
      </c>
      <c r="I3" s="276" t="s">
        <v>130</v>
      </c>
      <c r="K3" s="276" t="s">
        <v>130</v>
      </c>
      <c r="M3" s="276" t="s">
        <v>130</v>
      </c>
    </row>
    <row r="4" spans="1:13" ht="22.55" x14ac:dyDescent="0.35">
      <c r="A4" s="466" t="s">
        <v>239</v>
      </c>
      <c r="E4" s="494" t="str">
        <f>CONCATENATE(E5,"% anti-foam solution")</f>
        <v>100% anti-foam solution</v>
      </c>
      <c r="F4" s="495"/>
      <c r="G4" s="88"/>
      <c r="H4" s="88"/>
      <c r="I4" s="88"/>
    </row>
    <row r="5" spans="1:13" ht="18.5" customHeight="1" x14ac:dyDescent="0.3">
      <c r="A5" s="519" t="s">
        <v>458</v>
      </c>
      <c r="C5" s="144"/>
      <c r="D5" s="88"/>
      <c r="E5" s="458">
        <v>100</v>
      </c>
      <c r="F5" s="464" t="s">
        <v>14</v>
      </c>
      <c r="G5" s="88"/>
      <c r="H5" s="88"/>
      <c r="I5" s="88"/>
      <c r="J5" s="101"/>
    </row>
    <row r="6" spans="1:13" s="88" customFormat="1" ht="20.350000000000001" customHeight="1" x14ac:dyDescent="0.3">
      <c r="A6" s="519"/>
      <c r="C6" s="469"/>
      <c r="E6" s="459">
        <f>E5*10</f>
        <v>1000</v>
      </c>
      <c r="F6" s="465" t="s">
        <v>456</v>
      </c>
      <c r="K6" s="101"/>
      <c r="M6" s="101"/>
    </row>
    <row r="7" spans="1:13" s="88" customFormat="1" ht="22.25" customHeight="1" x14ac:dyDescent="0.35">
      <c r="A7" s="144"/>
      <c r="B7" s="143"/>
      <c r="C7" s="470"/>
      <c r="E7" s="458">
        <v>1</v>
      </c>
      <c r="F7" s="465" t="s">
        <v>201</v>
      </c>
    </row>
    <row r="8" spans="1:13" s="88" customFormat="1" ht="17.399999999999999" customHeight="1" x14ac:dyDescent="0.25">
      <c r="A8" s="144"/>
      <c r="E8" s="459">
        <f>E$9*E$7</f>
        <v>1</v>
      </c>
      <c r="F8" s="465" t="s">
        <v>441</v>
      </c>
      <c r="G8" s="139"/>
      <c r="H8" s="139"/>
      <c r="I8" s="139"/>
      <c r="J8" s="139"/>
      <c r="K8" s="139"/>
      <c r="M8" s="139"/>
    </row>
    <row r="9" spans="1:13" s="88" customFormat="1" ht="35.700000000000003" thickBot="1" x14ac:dyDescent="0.3">
      <c r="A9" s="144"/>
      <c r="C9" s="91"/>
      <c r="D9" s="91"/>
      <c r="E9" s="460">
        <v>1</v>
      </c>
      <c r="F9" s="444" t="str">
        <f>CONCATENATE("L ",E4,"/ton input")</f>
        <v>L 100% anti-foam solution/ton input</v>
      </c>
      <c r="G9" s="189"/>
      <c r="H9" s="189"/>
      <c r="I9" s="189"/>
      <c r="J9" s="189"/>
      <c r="K9" s="189"/>
      <c r="L9" s="189"/>
      <c r="M9" s="189"/>
    </row>
    <row r="10" spans="1:13" s="88" customFormat="1" ht="21.6" customHeight="1" thickBot="1" x14ac:dyDescent="0.4">
      <c r="A10" s="272" t="s">
        <v>361</v>
      </c>
      <c r="B10" s="295">
        <v>934</v>
      </c>
      <c r="C10" s="280">
        <f>B10</f>
        <v>934</v>
      </c>
      <c r="D10" s="280"/>
      <c r="E10" s="425">
        <f>(E$8/1000)*$C$46</f>
        <v>185000</v>
      </c>
      <c r="F10" s="155"/>
      <c r="G10" s="162"/>
      <c r="H10" s="452">
        <f>(J10/(C10+E10+G10))</f>
        <v>3.1688634970180036E-3</v>
      </c>
      <c r="I10" s="282">
        <f>100%-H10</f>
        <v>0.99683113650298205</v>
      </c>
      <c r="J10" s="346">
        <f>(J11+J12)/1000</f>
        <v>589.19946545454548</v>
      </c>
      <c r="K10" s="345"/>
      <c r="L10" s="346">
        <f>(L11+L12)/1000</f>
        <v>185344.80053454544</v>
      </c>
      <c r="M10" s="345"/>
    </row>
    <row r="11" spans="1:13" s="88" customFormat="1" ht="18.2" thickBot="1" x14ac:dyDescent="0.35">
      <c r="A11" s="273" t="s">
        <v>175</v>
      </c>
      <c r="B11" s="384">
        <f>J19/1000</f>
        <v>2.7840721157894741</v>
      </c>
      <c r="C11" s="283">
        <f>(C10*1000)-C12</f>
        <v>840600</v>
      </c>
      <c r="D11" s="300"/>
      <c r="E11" s="426">
        <f>(E10*1000)-E12</f>
        <v>0</v>
      </c>
      <c r="F11" s="155"/>
      <c r="G11" s="162"/>
      <c r="H11" s="471">
        <f>85%-((D12-40)*0.25%)</f>
        <v>0.7</v>
      </c>
      <c r="I11" s="282">
        <f>100%-H11</f>
        <v>0.30000000000000004</v>
      </c>
      <c r="J11" s="291">
        <f>($C11+$E11)*H11</f>
        <v>588420</v>
      </c>
      <c r="K11" s="293">
        <f>J11/$J$10</f>
        <v>998.67707711862204</v>
      </c>
      <c r="L11" s="291">
        <f>($C11+$E11)*I11</f>
        <v>252180.00000000003</v>
      </c>
      <c r="M11" s="293">
        <f>L11/$L$10</f>
        <v>1.3605992683511914</v>
      </c>
    </row>
    <row r="12" spans="1:13" s="88" customFormat="1" ht="21.3" thickBot="1" x14ac:dyDescent="0.4">
      <c r="A12" s="272" t="s">
        <v>176</v>
      </c>
      <c r="B12" s="295">
        <v>100</v>
      </c>
      <c r="C12" s="280">
        <f>C13+C16</f>
        <v>93400</v>
      </c>
      <c r="D12" s="301">
        <f>C12/C10</f>
        <v>100</v>
      </c>
      <c r="E12" s="426">
        <f>E13+E16</f>
        <v>185000000</v>
      </c>
      <c r="F12" s="155"/>
      <c r="G12" s="162"/>
      <c r="H12" s="419">
        <f>(J12/(C12+E12+G12))</f>
        <v>4.2112006940574574E-6</v>
      </c>
      <c r="I12" s="282">
        <f>100%-H12</f>
        <v>0.99999578879930595</v>
      </c>
      <c r="J12" s="291">
        <f>J13+J16</f>
        <v>779.46545454545458</v>
      </c>
      <c r="K12" s="293">
        <f t="shared" ref="K12:K36" si="0">J12/$J$10</f>
        <v>1.322922881377915</v>
      </c>
      <c r="L12" s="291">
        <f>L13+L16</f>
        <v>185092620.53454545</v>
      </c>
      <c r="M12" s="293">
        <f t="shared" ref="M12:M36" si="1">L12/$L$10</f>
        <v>998.63940073164883</v>
      </c>
    </row>
    <row r="13" spans="1:13" s="88" customFormat="1" ht="18.2" thickBot="1" x14ac:dyDescent="0.35">
      <c r="A13" s="273" t="s">
        <v>177</v>
      </c>
      <c r="B13" s="384">
        <f>B12-B16</f>
        <v>60.606060606060609</v>
      </c>
      <c r="C13" s="280">
        <f>C14+C15</f>
        <v>56606.060606060608</v>
      </c>
      <c r="D13" s="297">
        <f>C13/C10</f>
        <v>60.606060606060609</v>
      </c>
      <c r="E13" s="426">
        <f>E14+E15</f>
        <v>0</v>
      </c>
      <c r="F13" s="155"/>
      <c r="G13" s="162"/>
      <c r="H13" s="419">
        <f>(J13/(C13+E13+G13))</f>
        <v>0.01</v>
      </c>
      <c r="I13" s="282">
        <f>100%-H13</f>
        <v>0.99</v>
      </c>
      <c r="J13" s="291">
        <f>J14+J15</f>
        <v>566.06060606060612</v>
      </c>
      <c r="K13" s="293">
        <f t="shared" si="0"/>
        <v>0.96072830891642347</v>
      </c>
      <c r="L13" s="291">
        <f>L14+L15</f>
        <v>56040</v>
      </c>
      <c r="M13" s="293">
        <f t="shared" si="1"/>
        <v>0.30235539296693137</v>
      </c>
    </row>
    <row r="14" spans="1:13" s="88" customFormat="1" ht="18.2" thickBot="1" x14ac:dyDescent="0.35">
      <c r="A14" s="272" t="s">
        <v>178</v>
      </c>
      <c r="B14" s="385">
        <f>B21+B28+B31+0.156+0.095+0.72+1.6+0.11</f>
        <v>3.6283684210526315</v>
      </c>
      <c r="C14" s="283">
        <f>D14*C10</f>
        <v>28303.030303030304</v>
      </c>
      <c r="D14" s="300">
        <f>1/2*B13</f>
        <v>30.303030303030305</v>
      </c>
      <c r="E14" s="426">
        <v>0</v>
      </c>
      <c r="F14" s="155"/>
      <c r="G14" s="162"/>
      <c r="H14" s="472">
        <v>0</v>
      </c>
      <c r="I14" s="282">
        <f t="shared" ref="I14:I36" si="2">100%-H14</f>
        <v>1</v>
      </c>
      <c r="J14" s="291">
        <f t="shared" ref="J14:J15" si="3">($C14+$E14)*H14</f>
        <v>0</v>
      </c>
      <c r="K14" s="293">
        <f t="shared" si="0"/>
        <v>0</v>
      </c>
      <c r="L14" s="291">
        <f>($C14+$E14)*I14</f>
        <v>28303.030303030304</v>
      </c>
      <c r="M14" s="293">
        <f t="shared" si="1"/>
        <v>0.15270474392269262</v>
      </c>
    </row>
    <row r="15" spans="1:13" s="88" customFormat="1" ht="18.2" thickBot="1" x14ac:dyDescent="0.35">
      <c r="A15" s="273" t="s">
        <v>179</v>
      </c>
      <c r="B15" s="385">
        <f>B13-B14</f>
        <v>56.977692185007975</v>
      </c>
      <c r="C15" s="302">
        <f>D15*C10</f>
        <v>28303.030303030304</v>
      </c>
      <c r="D15" s="300">
        <f>1/2*B13</f>
        <v>30.303030303030305</v>
      </c>
      <c r="E15" s="426">
        <v>0</v>
      </c>
      <c r="F15" s="155"/>
      <c r="G15" s="162"/>
      <c r="H15" s="473">
        <v>0.02</v>
      </c>
      <c r="I15" s="282">
        <f t="shared" si="2"/>
        <v>0.98</v>
      </c>
      <c r="J15" s="291">
        <f t="shared" si="3"/>
        <v>566.06060606060612</v>
      </c>
      <c r="K15" s="293">
        <f t="shared" si="0"/>
        <v>0.96072830891642347</v>
      </c>
      <c r="L15" s="291">
        <f>($C15+$E15)*I15</f>
        <v>27736.969696969696</v>
      </c>
      <c r="M15" s="293">
        <f t="shared" si="1"/>
        <v>0.14965064904423875</v>
      </c>
    </row>
    <row r="16" spans="1:13" s="88" customFormat="1" ht="21.3" thickBot="1" x14ac:dyDescent="0.4">
      <c r="A16" s="272" t="s">
        <v>180</v>
      </c>
      <c r="B16" s="467">
        <f>(26/66)*B12</f>
        <v>39.393939393939391</v>
      </c>
      <c r="C16" s="303">
        <f>C17+C18</f>
        <v>36793.939393939385</v>
      </c>
      <c r="D16" s="301">
        <f>C16/C10</f>
        <v>39.393939393939384</v>
      </c>
      <c r="E16" s="422">
        <f>E17+E18</f>
        <v>185000000</v>
      </c>
      <c r="F16" s="155"/>
      <c r="G16" s="162"/>
      <c r="H16" s="419">
        <f>(J16/(C16+E16+G16))</f>
        <v>1.1533103440753845E-6</v>
      </c>
      <c r="I16" s="282">
        <f t="shared" si="2"/>
        <v>0.99999884668965588</v>
      </c>
      <c r="J16" s="291">
        <f>J17+J18</f>
        <v>213.40484848484846</v>
      </c>
      <c r="K16" s="293">
        <f t="shared" si="0"/>
        <v>0.36219457246149156</v>
      </c>
      <c r="L16" s="291">
        <f>L17+L18</f>
        <v>185036580.53454545</v>
      </c>
      <c r="M16" s="293">
        <f t="shared" si="1"/>
        <v>998.33704533868195</v>
      </c>
    </row>
    <row r="17" spans="1:13" s="88" customFormat="1" ht="18.2" thickBot="1" x14ac:dyDescent="0.35">
      <c r="A17" s="273" t="s">
        <v>181</v>
      </c>
      <c r="B17" s="265"/>
      <c r="C17" s="302">
        <f>D17*C10</f>
        <v>26123.696969696965</v>
      </c>
      <c r="D17" s="300">
        <f>71%*B16</f>
        <v>27.969696969696965</v>
      </c>
      <c r="E17" s="422">
        <f>E$6*E$10/E$7</f>
        <v>185000000</v>
      </c>
      <c r="F17" s="155"/>
      <c r="G17" s="162"/>
      <c r="H17" s="472">
        <v>0</v>
      </c>
      <c r="I17" s="282">
        <f t="shared" si="2"/>
        <v>1</v>
      </c>
      <c r="J17" s="291">
        <f t="shared" ref="J17:J18" si="4">($C17+$E17)*H17</f>
        <v>0</v>
      </c>
      <c r="K17" s="293">
        <f t="shared" si="0"/>
        <v>0</v>
      </c>
      <c r="L17" s="291">
        <f>($C17+$E17)*I17</f>
        <v>185026123.69696969</v>
      </c>
      <c r="M17" s="293">
        <f t="shared" si="1"/>
        <v>998.28062704399224</v>
      </c>
    </row>
    <row r="18" spans="1:13" s="88" customFormat="1" ht="18.2" thickBot="1" x14ac:dyDescent="0.35">
      <c r="A18" s="272" t="s">
        <v>182</v>
      </c>
      <c r="B18" s="265"/>
      <c r="C18" s="302">
        <f>D18*C10</f>
        <v>10670.242424242422</v>
      </c>
      <c r="D18" s="300">
        <f>29%*B16</f>
        <v>11.424242424242422</v>
      </c>
      <c r="E18" s="422">
        <v>0</v>
      </c>
      <c r="F18" s="155"/>
      <c r="G18" s="162"/>
      <c r="H18" s="473">
        <v>0.02</v>
      </c>
      <c r="I18" s="282">
        <f t="shared" si="2"/>
        <v>0.98</v>
      </c>
      <c r="J18" s="291">
        <f t="shared" si="4"/>
        <v>213.40484848484846</v>
      </c>
      <c r="K18" s="293">
        <f t="shared" si="0"/>
        <v>0.36219457246149156</v>
      </c>
      <c r="L18" s="291">
        <f>($C18+$E18)*I18</f>
        <v>10456.837575757574</v>
      </c>
      <c r="M18" s="293">
        <f t="shared" si="1"/>
        <v>5.6418294689678003E-2</v>
      </c>
    </row>
    <row r="19" spans="1:13" s="88" customFormat="1" ht="21.3" thickBot="1" x14ac:dyDescent="0.4">
      <c r="A19" s="273" t="s">
        <v>183</v>
      </c>
      <c r="B19" s="295">
        <v>6.5</v>
      </c>
      <c r="C19" s="303">
        <f>C20+C23</f>
        <v>6071</v>
      </c>
      <c r="D19" s="299">
        <f>C19/C10</f>
        <v>6.5</v>
      </c>
      <c r="E19" s="422">
        <v>0</v>
      </c>
      <c r="F19" s="154"/>
      <c r="G19" s="162"/>
      <c r="H19" s="419">
        <f>(J19/(C19+E19+G19))</f>
        <v>0.45858542510121464</v>
      </c>
      <c r="I19" s="282">
        <f t="shared" si="2"/>
        <v>0.54141457489878531</v>
      </c>
      <c r="J19" s="291">
        <f>J20+J23</f>
        <v>2784.0721157894741</v>
      </c>
      <c r="K19" s="293">
        <f t="shared" si="0"/>
        <v>4.7251775994767167</v>
      </c>
      <c r="L19" s="291">
        <f>L20+L23</f>
        <v>3286.9278842105259</v>
      </c>
      <c r="M19" s="293">
        <f t="shared" si="1"/>
        <v>1.7734125126417522E-2</v>
      </c>
    </row>
    <row r="20" spans="1:13" s="88" customFormat="1" ht="18.2" thickBot="1" x14ac:dyDescent="0.35">
      <c r="A20" s="272" t="s">
        <v>184</v>
      </c>
      <c r="B20" s="265">
        <f>D22/0.95</f>
        <v>3.7894736842105265</v>
      </c>
      <c r="C20" s="303">
        <f>C21+C22</f>
        <v>3539.3684210526317</v>
      </c>
      <c r="D20" s="296">
        <f>C20/C10</f>
        <v>3.7894736842105265</v>
      </c>
      <c r="E20" s="422">
        <v>0</v>
      </c>
      <c r="F20" s="155"/>
      <c r="G20" s="163"/>
      <c r="H20" s="419">
        <f>(J20/(C20+E20+G20))</f>
        <v>0.76500000000000001</v>
      </c>
      <c r="I20" s="282">
        <f t="shared" si="2"/>
        <v>0.23499999999999999</v>
      </c>
      <c r="J20" s="291">
        <f>J21+J22</f>
        <v>2707.6168421052635</v>
      </c>
      <c r="K20" s="293">
        <f t="shared" si="0"/>
        <v>4.5954163247864415</v>
      </c>
      <c r="L20" s="291">
        <f>L21+L22</f>
        <v>831.75157894736844</v>
      </c>
      <c r="M20" s="293">
        <f t="shared" si="1"/>
        <v>4.487590569298666E-3</v>
      </c>
    </row>
    <row r="21" spans="1:13" s="88" customFormat="1" ht="18.2" thickBot="1" x14ac:dyDescent="0.35">
      <c r="A21" s="273" t="s">
        <v>185</v>
      </c>
      <c r="B21" s="265"/>
      <c r="C21" s="303">
        <f>D21*C10</f>
        <v>176.96842105263173</v>
      </c>
      <c r="D21" s="296">
        <f>B20-D22</f>
        <v>0.18947368421052646</v>
      </c>
      <c r="E21" s="422">
        <v>0</v>
      </c>
      <c r="F21" s="154"/>
      <c r="G21" s="162"/>
      <c r="H21" s="473">
        <v>0.1</v>
      </c>
      <c r="I21" s="282">
        <f t="shared" si="2"/>
        <v>0.9</v>
      </c>
      <c r="J21" s="291">
        <f t="shared" ref="J21:J22" si="5">($C21+$E21)*H21</f>
        <v>17.696842105263173</v>
      </c>
      <c r="K21" s="293">
        <f t="shared" si="0"/>
        <v>3.003540081559768E-2</v>
      </c>
      <c r="L21" s="291">
        <f>($C21+$E21)*I21</f>
        <v>159.27157894736857</v>
      </c>
      <c r="M21" s="293">
        <f t="shared" si="1"/>
        <v>8.5932585369548993E-4</v>
      </c>
    </row>
    <row r="22" spans="1:13" s="88" customFormat="1" ht="21.3" thickBot="1" x14ac:dyDescent="0.4">
      <c r="A22" s="272" t="s">
        <v>186</v>
      </c>
      <c r="B22" s="295">
        <v>3.6</v>
      </c>
      <c r="C22" s="302">
        <f>D22*C10</f>
        <v>3362.4</v>
      </c>
      <c r="D22" s="299">
        <f>B22</f>
        <v>3.6</v>
      </c>
      <c r="E22" s="422">
        <v>0</v>
      </c>
      <c r="F22" s="154"/>
      <c r="G22" s="162"/>
      <c r="H22" s="474">
        <v>0.8</v>
      </c>
      <c r="I22" s="282">
        <f t="shared" si="2"/>
        <v>0.19999999999999996</v>
      </c>
      <c r="J22" s="291">
        <f t="shared" si="5"/>
        <v>2689.92</v>
      </c>
      <c r="K22" s="293">
        <f t="shared" si="0"/>
        <v>4.5653809239708441</v>
      </c>
      <c r="L22" s="291">
        <f>($C22+$E22)*I22</f>
        <v>672.4799999999999</v>
      </c>
      <c r="M22" s="293">
        <f t="shared" si="1"/>
        <v>3.6282647156031761E-3</v>
      </c>
    </row>
    <row r="23" spans="1:13" s="88" customFormat="1" ht="18.2" thickBot="1" x14ac:dyDescent="0.35">
      <c r="A23" s="273" t="s">
        <v>187</v>
      </c>
      <c r="B23" s="265">
        <f>B19-B20</f>
        <v>2.7105263157894735</v>
      </c>
      <c r="C23" s="303">
        <f>C24+C25</f>
        <v>2531.6315789473683</v>
      </c>
      <c r="D23" s="296">
        <f>C23/C10</f>
        <v>2.7105263157894735</v>
      </c>
      <c r="E23" s="422">
        <v>0</v>
      </c>
      <c r="F23" s="154"/>
      <c r="G23" s="162"/>
      <c r="H23" s="419">
        <f>(J23/(C23+E23+G23))</f>
        <v>3.0200000000000001E-2</v>
      </c>
      <c r="I23" s="282">
        <f t="shared" si="2"/>
        <v>0.9698</v>
      </c>
      <c r="J23" s="291">
        <f>J24+J25</f>
        <v>76.455273684210525</v>
      </c>
      <c r="K23" s="293">
        <f t="shared" si="0"/>
        <v>0.1297612746902751</v>
      </c>
      <c r="L23" s="291">
        <f>L24+L25</f>
        <v>2455.1763052631577</v>
      </c>
      <c r="M23" s="293">
        <f t="shared" si="1"/>
        <v>1.3246534557118857E-2</v>
      </c>
    </row>
    <row r="24" spans="1:13" s="88" customFormat="1" ht="18.2" thickBot="1" x14ac:dyDescent="0.35">
      <c r="A24" s="272" t="s">
        <v>188</v>
      </c>
      <c r="B24" s="265"/>
      <c r="C24" s="302">
        <f>D24*C10</f>
        <v>860.75473684210522</v>
      </c>
      <c r="D24" s="298">
        <f>0.34*B23</f>
        <v>0.92157894736842105</v>
      </c>
      <c r="E24" s="422">
        <v>0</v>
      </c>
      <c r="F24" s="155"/>
      <c r="G24" s="163"/>
      <c r="H24" s="472">
        <v>0.05</v>
      </c>
      <c r="I24" s="282">
        <f t="shared" si="2"/>
        <v>0.95</v>
      </c>
      <c r="J24" s="291">
        <f t="shared" ref="J24:J25" si="6">($C24+$E24)*H24</f>
        <v>43.037736842105261</v>
      </c>
      <c r="K24" s="293">
        <f t="shared" si="0"/>
        <v>7.3044426150154856E-2</v>
      </c>
      <c r="L24" s="291">
        <f>($C24+$E24)*I24</f>
        <v>817.71699999999987</v>
      </c>
      <c r="M24" s="293">
        <f t="shared" si="1"/>
        <v>4.4118691090424727E-3</v>
      </c>
    </row>
    <row r="25" spans="1:13" s="88" customFormat="1" ht="18.2" thickBot="1" x14ac:dyDescent="0.35">
      <c r="A25" s="273" t="s">
        <v>189</v>
      </c>
      <c r="B25" s="265"/>
      <c r="C25" s="302">
        <f>D25*C10</f>
        <v>1670.8768421052632</v>
      </c>
      <c r="D25" s="298">
        <f>0.66*B23</f>
        <v>1.7889473684210526</v>
      </c>
      <c r="E25" s="422">
        <v>0</v>
      </c>
      <c r="F25" s="155"/>
      <c r="G25" s="163"/>
      <c r="H25" s="472">
        <v>0.02</v>
      </c>
      <c r="I25" s="282">
        <f t="shared" si="2"/>
        <v>0.98</v>
      </c>
      <c r="J25" s="291">
        <f t="shared" si="6"/>
        <v>33.417536842105264</v>
      </c>
      <c r="K25" s="293">
        <f t="shared" si="0"/>
        <v>5.671684854012024E-2</v>
      </c>
      <c r="L25" s="291">
        <f>($C25+$E25)*I25</f>
        <v>1637.4593052631578</v>
      </c>
      <c r="M25" s="293">
        <f t="shared" si="1"/>
        <v>8.8346654480763835E-3</v>
      </c>
    </row>
    <row r="26" spans="1:13" s="88" customFormat="1" ht="21.3" thickBot="1" x14ac:dyDescent="0.4">
      <c r="A26" s="272" t="s">
        <v>190</v>
      </c>
      <c r="B26" s="295">
        <v>1.2</v>
      </c>
      <c r="C26" s="303">
        <f>C27+C30</f>
        <v>1120.8</v>
      </c>
      <c r="D26" s="299">
        <f>C26/C10</f>
        <v>1.2</v>
      </c>
      <c r="E26" s="422">
        <v>0</v>
      </c>
      <c r="F26" s="154"/>
      <c r="G26" s="162"/>
      <c r="H26" s="419">
        <f>(J26/(C26+E26+G26))</f>
        <v>4.2105263157894736E-3</v>
      </c>
      <c r="I26" s="282">
        <f t="shared" si="2"/>
        <v>0.99578947368421056</v>
      </c>
      <c r="J26" s="291">
        <f>J27+J30</f>
        <v>4.719157894736842</v>
      </c>
      <c r="K26" s="293">
        <f t="shared" si="0"/>
        <v>8.0094402174927075E-3</v>
      </c>
      <c r="L26" s="291">
        <f>L27+L30</f>
        <v>1116.0808421052629</v>
      </c>
      <c r="M26" s="293">
        <f t="shared" si="1"/>
        <v>6.0216463525624639E-3</v>
      </c>
    </row>
    <row r="27" spans="1:13" s="88" customFormat="1" ht="18.2" thickBot="1" x14ac:dyDescent="0.35">
      <c r="A27" s="273" t="s">
        <v>191</v>
      </c>
      <c r="B27" s="384">
        <f>B29/0.19</f>
        <v>0.78947368421052633</v>
      </c>
      <c r="C27" s="303">
        <f>C28+C29</f>
        <v>737.36842105263156</v>
      </c>
      <c r="D27" s="296">
        <f>C27/C10</f>
        <v>0.78947368421052633</v>
      </c>
      <c r="E27" s="422">
        <v>0</v>
      </c>
      <c r="F27" s="155"/>
      <c r="G27" s="163"/>
      <c r="H27" s="419">
        <f>(J27/(C27+E27+G27))</f>
        <v>3.8E-3</v>
      </c>
      <c r="I27" s="282">
        <f t="shared" si="2"/>
        <v>0.99619999999999997</v>
      </c>
      <c r="J27" s="291">
        <f>J28+J29</f>
        <v>2.802</v>
      </c>
      <c r="K27" s="293">
        <f t="shared" si="0"/>
        <v>4.7556051291362958E-3</v>
      </c>
      <c r="L27" s="291">
        <f>L28+L29</f>
        <v>734.56642105263154</v>
      </c>
      <c r="M27" s="293">
        <f t="shared" si="1"/>
        <v>3.9632426641270663E-3</v>
      </c>
    </row>
    <row r="28" spans="1:13" s="88" customFormat="1" ht="18.2" thickBot="1" x14ac:dyDescent="0.35">
      <c r="A28" s="272" t="s">
        <v>192</v>
      </c>
      <c r="B28" s="385">
        <f>B27-B29</f>
        <v>0.63947368421052631</v>
      </c>
      <c r="C28" s="303">
        <f>D28*C10</f>
        <v>597.26842105263154</v>
      </c>
      <c r="D28" s="296">
        <f>B28</f>
        <v>0.63947368421052631</v>
      </c>
      <c r="E28" s="422">
        <v>0</v>
      </c>
      <c r="F28" s="155"/>
      <c r="G28" s="163"/>
      <c r="H28" s="472">
        <v>0</v>
      </c>
      <c r="I28" s="282">
        <f t="shared" si="2"/>
        <v>1</v>
      </c>
      <c r="J28" s="291">
        <f t="shared" ref="J28:J29" si="7">($C28+$E28)*H28</f>
        <v>0</v>
      </c>
      <c r="K28" s="293">
        <f t="shared" si="0"/>
        <v>0</v>
      </c>
      <c r="L28" s="291">
        <f>($C28+$E28)*I28</f>
        <v>597.26842105263154</v>
      </c>
      <c r="M28" s="293">
        <f t="shared" si="1"/>
        <v>3.2224719513580841E-3</v>
      </c>
    </row>
    <row r="29" spans="1:13" s="88" customFormat="1" ht="18.2" thickBot="1" x14ac:dyDescent="0.35">
      <c r="A29" s="273" t="s">
        <v>193</v>
      </c>
      <c r="B29" s="385">
        <v>0.15</v>
      </c>
      <c r="C29" s="302">
        <f>D29*C10</f>
        <v>140.1</v>
      </c>
      <c r="D29" s="298">
        <f>B29</f>
        <v>0.15</v>
      </c>
      <c r="E29" s="422">
        <v>0</v>
      </c>
      <c r="F29" s="155"/>
      <c r="G29" s="163"/>
      <c r="H29" s="475">
        <v>0.02</v>
      </c>
      <c r="I29" s="282">
        <f t="shared" si="2"/>
        <v>0.98</v>
      </c>
      <c r="J29" s="291">
        <f t="shared" si="7"/>
        <v>2.802</v>
      </c>
      <c r="K29" s="294">
        <f t="shared" si="0"/>
        <v>4.7556051291362958E-3</v>
      </c>
      <c r="L29" s="291">
        <f>($C29+$E29)*I29</f>
        <v>137.298</v>
      </c>
      <c r="M29" s="294">
        <f t="shared" si="1"/>
        <v>7.4077071276898183E-4</v>
      </c>
    </row>
    <row r="30" spans="1:13" s="88" customFormat="1" ht="18.2" thickBot="1" x14ac:dyDescent="0.35">
      <c r="A30" s="272" t="s">
        <v>194</v>
      </c>
      <c r="B30" s="385">
        <f>B26-B27</f>
        <v>0.41052631578947363</v>
      </c>
      <c r="C30" s="303">
        <f>C31+C32</f>
        <v>383.43157894736839</v>
      </c>
      <c r="D30" s="296">
        <f>C30/C10</f>
        <v>0.41052631578947363</v>
      </c>
      <c r="E30" s="422">
        <v>0</v>
      </c>
      <c r="F30" s="154"/>
      <c r="G30" s="162"/>
      <c r="H30" s="419">
        <f>(J30/(C30+E30+G30))</f>
        <v>5.0000000000000001E-3</v>
      </c>
      <c r="I30" s="282">
        <f t="shared" si="2"/>
        <v>0.995</v>
      </c>
      <c r="J30" s="291">
        <f>J31+J32</f>
        <v>1.9171578947368419</v>
      </c>
      <c r="K30" s="293">
        <f t="shared" si="0"/>
        <v>3.2538350883564125E-3</v>
      </c>
      <c r="L30" s="291">
        <f>L31+L32</f>
        <v>381.51442105263152</v>
      </c>
      <c r="M30" s="293">
        <f t="shared" si="1"/>
        <v>2.0584036884353984E-3</v>
      </c>
    </row>
    <row r="31" spans="1:13" s="88" customFormat="1" ht="18.2" thickBot="1" x14ac:dyDescent="0.35">
      <c r="A31" s="273" t="s">
        <v>195</v>
      </c>
      <c r="B31" s="385">
        <f>B30*0.75</f>
        <v>0.30789473684210522</v>
      </c>
      <c r="C31" s="302">
        <f>D31*C10</f>
        <v>287.57368421052627</v>
      </c>
      <c r="D31" s="298">
        <f>B31</f>
        <v>0.30789473684210522</v>
      </c>
      <c r="E31" s="422">
        <v>0</v>
      </c>
      <c r="F31" s="155"/>
      <c r="G31" s="163"/>
      <c r="H31" s="473">
        <v>0</v>
      </c>
      <c r="I31" s="282">
        <f t="shared" si="2"/>
        <v>1</v>
      </c>
      <c r="J31" s="291">
        <f t="shared" ref="J31:J32" si="8">($C31+$E31)*H31</f>
        <v>0</v>
      </c>
      <c r="K31" s="293">
        <f t="shared" si="0"/>
        <v>0</v>
      </c>
      <c r="L31" s="291">
        <f>($C31+$E31)*I31</f>
        <v>287.57368421052627</v>
      </c>
      <c r="M31" s="293">
        <f t="shared" si="1"/>
        <v>1.5515605691724108E-3</v>
      </c>
    </row>
    <row r="32" spans="1:13" s="88" customFormat="1" ht="18.2" thickBot="1" x14ac:dyDescent="0.35">
      <c r="A32" s="272" t="s">
        <v>196</v>
      </c>
      <c r="B32" s="385">
        <f>B30*0.25</f>
        <v>0.10263157894736841</v>
      </c>
      <c r="C32" s="302">
        <f>D32*C10</f>
        <v>95.857894736842098</v>
      </c>
      <c r="D32" s="298">
        <f>B32</f>
        <v>0.10263157894736841</v>
      </c>
      <c r="E32" s="422">
        <v>0</v>
      </c>
      <c r="F32" s="155"/>
      <c r="G32" s="163"/>
      <c r="H32" s="476">
        <v>0.02</v>
      </c>
      <c r="I32" s="282">
        <f t="shared" si="2"/>
        <v>0.98</v>
      </c>
      <c r="J32" s="291">
        <f t="shared" si="8"/>
        <v>1.9171578947368419</v>
      </c>
      <c r="K32" s="293">
        <f t="shared" si="0"/>
        <v>3.2538350883564125E-3</v>
      </c>
      <c r="L32" s="291">
        <f>($C32+$E32)*I32</f>
        <v>93.940736842105252</v>
      </c>
      <c r="M32" s="293">
        <f t="shared" si="1"/>
        <v>5.0684311926298749E-4</v>
      </c>
    </row>
    <row r="33" spans="1:13" s="88" customFormat="1" ht="21.3" thickBot="1" x14ac:dyDescent="0.4">
      <c r="A33" s="273" t="s">
        <v>197</v>
      </c>
      <c r="B33" s="295">
        <v>5.5</v>
      </c>
      <c r="C33" s="303">
        <f>C34</f>
        <v>5137</v>
      </c>
      <c r="D33" s="299">
        <f>C33/C10</f>
        <v>5.5</v>
      </c>
      <c r="E33" s="422">
        <v>0</v>
      </c>
      <c r="F33" s="154"/>
      <c r="G33" s="162"/>
      <c r="H33" s="419">
        <f>(J33/(C33+E33+G33))</f>
        <v>4.3E-3</v>
      </c>
      <c r="I33" s="282">
        <f t="shared" si="2"/>
        <v>0.99570000000000003</v>
      </c>
      <c r="J33" s="291">
        <f>J34</f>
        <v>22.089099999999998</v>
      </c>
      <c r="K33" s="293">
        <f t="shared" si="0"/>
        <v>3.7490020434691129E-2</v>
      </c>
      <c r="L33" s="291">
        <f>L34</f>
        <v>5114.9108999999999</v>
      </c>
      <c r="M33" s="293">
        <f t="shared" si="1"/>
        <v>2.7596732604574244E-2</v>
      </c>
    </row>
    <row r="34" spans="1:13" s="88" customFormat="1" ht="18.2" thickBot="1" x14ac:dyDescent="0.35">
      <c r="A34" s="272" t="s">
        <v>198</v>
      </c>
      <c r="B34" s="265"/>
      <c r="C34" s="303">
        <f>C35+C36</f>
        <v>5137</v>
      </c>
      <c r="D34" s="296">
        <f>C34/C10</f>
        <v>5.5</v>
      </c>
      <c r="E34" s="422">
        <v>0</v>
      </c>
      <c r="F34" s="155"/>
      <c r="G34" s="163"/>
      <c r="H34" s="419">
        <f>(J34/(C34+E34+G34))</f>
        <v>4.3E-3</v>
      </c>
      <c r="I34" s="282">
        <f t="shared" si="2"/>
        <v>0.99570000000000003</v>
      </c>
      <c r="J34" s="291">
        <f>J35+J36</f>
        <v>22.089099999999998</v>
      </c>
      <c r="K34" s="293">
        <f t="shared" si="0"/>
        <v>3.7490020434691129E-2</v>
      </c>
      <c r="L34" s="291">
        <f>L35+L36</f>
        <v>5114.9108999999999</v>
      </c>
      <c r="M34" s="293">
        <f t="shared" si="1"/>
        <v>2.7596732604574244E-2</v>
      </c>
    </row>
    <row r="35" spans="1:13" s="88" customFormat="1" ht="18.2" thickBot="1" x14ac:dyDescent="0.35">
      <c r="A35" s="273" t="s">
        <v>199</v>
      </c>
      <c r="B35" s="266"/>
      <c r="C35" s="303">
        <f>D35*C10</f>
        <v>719.18000000000006</v>
      </c>
      <c r="D35" s="296">
        <f>0.14*B33</f>
        <v>0.77</v>
      </c>
      <c r="E35" s="422">
        <v>0</v>
      </c>
      <c r="F35" s="155"/>
      <c r="G35" s="163"/>
      <c r="H35" s="473">
        <v>0</v>
      </c>
      <c r="I35" s="282">
        <f t="shared" si="2"/>
        <v>1</v>
      </c>
      <c r="J35" s="291">
        <f t="shared" ref="J35:J36" si="9">($C35+$E35)*H35</f>
        <v>0</v>
      </c>
      <c r="K35" s="293">
        <f t="shared" si="0"/>
        <v>0</v>
      </c>
      <c r="L35" s="291">
        <f>($C35+$E35)*I35</f>
        <v>719.18000000000006</v>
      </c>
      <c r="M35" s="293">
        <f t="shared" si="1"/>
        <v>3.8802275430756196E-3</v>
      </c>
    </row>
    <row r="36" spans="1:13" s="88" customFormat="1" ht="18.2" thickBot="1" x14ac:dyDescent="0.35">
      <c r="A36" s="272" t="s">
        <v>200</v>
      </c>
      <c r="B36" s="266"/>
      <c r="C36" s="302">
        <f>D36*C10</f>
        <v>4417.82</v>
      </c>
      <c r="D36" s="298">
        <f>0.86*B33</f>
        <v>4.7299999999999995</v>
      </c>
      <c r="E36" s="423">
        <v>0</v>
      </c>
      <c r="F36" s="155"/>
      <c r="G36" s="163"/>
      <c r="H36" s="476">
        <v>5.0000000000000001E-3</v>
      </c>
      <c r="I36" s="282">
        <f t="shared" si="2"/>
        <v>0.995</v>
      </c>
      <c r="J36" s="291">
        <f t="shared" si="9"/>
        <v>22.089099999999998</v>
      </c>
      <c r="K36" s="293">
        <f t="shared" si="0"/>
        <v>3.7490020434691129E-2</v>
      </c>
      <c r="L36" s="291">
        <f>($C36+$E36)*I36</f>
        <v>4395.7308999999996</v>
      </c>
      <c r="M36" s="293">
        <f t="shared" si="1"/>
        <v>2.3716505061498621E-2</v>
      </c>
    </row>
    <row r="37" spans="1:13" s="88" customFormat="1" x14ac:dyDescent="0.25"/>
    <row r="38" spans="1:13" s="365" customFormat="1" ht="15.05" thickBot="1" x14ac:dyDescent="0.3"/>
    <row r="39" spans="1:13" s="88" customFormat="1" ht="15.65" thickBot="1" x14ac:dyDescent="0.35">
      <c r="A39" s="92"/>
      <c r="B39" s="92"/>
      <c r="C39" s="92"/>
      <c r="D39" s="92"/>
      <c r="K39" s="101"/>
      <c r="M39" s="101"/>
    </row>
    <row r="40" spans="1:13" ht="17.55" x14ac:dyDescent="0.3">
      <c r="E40" s="494" t="str">
        <f>CONCATENATE(E41,"% anti-foam solution")</f>
        <v>100% anti-foam solution</v>
      </c>
      <c r="F40" s="495"/>
      <c r="G40" s="494" t="str">
        <f>CONCATENATE(G41,"% H2SO4 solution")</f>
        <v>96% H2SO4 solution</v>
      </c>
      <c r="H40" s="495"/>
    </row>
    <row r="41" spans="1:13" ht="22.55" x14ac:dyDescent="0.35">
      <c r="A41" s="466" t="s">
        <v>239</v>
      </c>
      <c r="E41" s="458">
        <v>100</v>
      </c>
      <c r="F41" s="464" t="s">
        <v>14</v>
      </c>
      <c r="G41" s="461">
        <v>96</v>
      </c>
      <c r="H41" s="464" t="s">
        <v>14</v>
      </c>
    </row>
    <row r="42" spans="1:13" ht="17.55" x14ac:dyDescent="0.25">
      <c r="A42" s="520" t="s">
        <v>459</v>
      </c>
      <c r="E42" s="459">
        <f>E41*10</f>
        <v>1000</v>
      </c>
      <c r="F42" s="465" t="s">
        <v>456</v>
      </c>
      <c r="G42" s="462">
        <f>G41*10</f>
        <v>960</v>
      </c>
      <c r="H42" s="465" t="s">
        <v>378</v>
      </c>
    </row>
    <row r="43" spans="1:13" s="88" customFormat="1" ht="22.55" x14ac:dyDescent="0.35">
      <c r="A43" s="520"/>
      <c r="B43" s="143"/>
      <c r="E43" s="458">
        <v>1</v>
      </c>
      <c r="F43" s="465" t="s">
        <v>201</v>
      </c>
      <c r="G43" s="461">
        <v>1.84</v>
      </c>
      <c r="H43" s="465" t="s">
        <v>201</v>
      </c>
      <c r="L43" s="101"/>
    </row>
    <row r="44" spans="1:13" s="88" customFormat="1" ht="17.55" x14ac:dyDescent="0.25">
      <c r="E44" s="459">
        <f>E$9*E$7</f>
        <v>1</v>
      </c>
      <c r="F44" s="465" t="s">
        <v>441</v>
      </c>
      <c r="G44" s="462">
        <f>G$45*G$43</f>
        <v>11.040000000000001</v>
      </c>
      <c r="H44" s="465" t="s">
        <v>441</v>
      </c>
    </row>
    <row r="45" spans="1:13" s="88" customFormat="1" ht="35.700000000000003" thickBot="1" x14ac:dyDescent="0.3">
      <c r="C45" s="91"/>
      <c r="D45" s="91"/>
      <c r="E45" s="460">
        <v>1</v>
      </c>
      <c r="F45" s="444" t="str">
        <f>CONCATENATE("L ",E40,"/ton input")</f>
        <v>L 100% anti-foam solution/ton input</v>
      </c>
      <c r="G45" s="463">
        <v>6</v>
      </c>
      <c r="H45" s="444" t="str">
        <f>CONCATENATE("L ",G40,"/ton input")</f>
        <v>L 96% H2SO4 solution/ton input</v>
      </c>
    </row>
    <row r="46" spans="1:13" s="88" customFormat="1" ht="21.6" customHeight="1" thickBot="1" x14ac:dyDescent="0.4">
      <c r="A46" s="272" t="s">
        <v>70</v>
      </c>
      <c r="B46" s="295">
        <v>185000000</v>
      </c>
      <c r="C46" s="280">
        <f>B46</f>
        <v>185000000</v>
      </c>
      <c r="D46" s="280"/>
      <c r="E46" s="425">
        <f>($E$44/1000)*$C$46</f>
        <v>185000</v>
      </c>
      <c r="F46" s="155"/>
      <c r="G46" s="425">
        <f>(G$44/1000)*$C$46</f>
        <v>2042400.0000000002</v>
      </c>
      <c r="H46" s="452">
        <f>(J46/(C46+E46+G46))</f>
        <v>0.62384454513116616</v>
      </c>
      <c r="I46" s="282">
        <f>100%-H46</f>
        <v>0.37615545486883384</v>
      </c>
      <c r="J46" s="346">
        <f>(J47+J48)/1000</f>
        <v>116800792.18909091</v>
      </c>
      <c r="K46" s="345"/>
      <c r="L46" s="346">
        <f>(L47+L48)/1000</f>
        <v>70426607.810909092</v>
      </c>
      <c r="M46" s="345"/>
    </row>
    <row r="47" spans="1:13" s="88" customFormat="1" ht="17.55" thickBot="1" x14ac:dyDescent="0.3">
      <c r="A47" s="273" t="s">
        <v>175</v>
      </c>
      <c r="B47" s="384">
        <f>J55/1000</f>
        <v>29062.721052631583</v>
      </c>
      <c r="C47" s="283">
        <f>(C46*1000)-C48</f>
        <v>166500000000</v>
      </c>
      <c r="D47" s="300"/>
      <c r="E47" s="426">
        <f>(E46*1000)-E48</f>
        <v>0</v>
      </c>
      <c r="F47" s="155"/>
      <c r="G47" s="426">
        <f>(G46*1000)-G48</f>
        <v>81696000</v>
      </c>
      <c r="H47" s="471">
        <f>85%-((D48-40)*0.25%)</f>
        <v>0.7</v>
      </c>
      <c r="I47" s="282">
        <f>100%-H47</f>
        <v>0.30000000000000004</v>
      </c>
      <c r="J47" s="291">
        <f>($C47+$E47+$G47)*H47</f>
        <v>116607187200</v>
      </c>
      <c r="K47" s="293">
        <f>J47/$J$46</f>
        <v>998.34243428094669</v>
      </c>
      <c r="L47" s="291">
        <f>($C47+$E47+$G47)*I47</f>
        <v>49974508800.000008</v>
      </c>
      <c r="M47" s="293">
        <f>L47/$L$46</f>
        <v>709.59698831694902</v>
      </c>
    </row>
    <row r="48" spans="1:13" s="88" customFormat="1" ht="21.3" thickBot="1" x14ac:dyDescent="0.4">
      <c r="A48" s="272" t="s">
        <v>176</v>
      </c>
      <c r="B48" s="295">
        <v>100</v>
      </c>
      <c r="C48" s="280">
        <f>C49+C52</f>
        <v>18500000000</v>
      </c>
      <c r="D48" s="301">
        <f>C48/C46</f>
        <v>100</v>
      </c>
      <c r="E48" s="426">
        <f>E49+E52</f>
        <v>185000000</v>
      </c>
      <c r="F48" s="155"/>
      <c r="G48" s="426">
        <f>G49+G52</f>
        <v>1960704000.0000002</v>
      </c>
      <c r="H48" s="419">
        <f>(J48/(C48+E48+G48))</f>
        <v>9.3774951481872017E-3</v>
      </c>
      <c r="I48" s="282">
        <f>100%-H48</f>
        <v>0.9906225048518128</v>
      </c>
      <c r="J48" s="291">
        <f>J49+J52</f>
        <v>193604989.09090909</v>
      </c>
      <c r="K48" s="293">
        <f t="shared" ref="K48:K72" si="10">J48/$J$46</f>
        <v>1.6575657190533304</v>
      </c>
      <c r="L48" s="291">
        <f>L49+L52</f>
        <v>20452099010.909088</v>
      </c>
      <c r="M48" s="293">
        <f t="shared" ref="M48:M71" si="11">L48/$L$46</f>
        <v>290.40301168305103</v>
      </c>
    </row>
    <row r="49" spans="1:13" s="88" customFormat="1" ht="17.55" thickBot="1" x14ac:dyDescent="0.3">
      <c r="A49" s="273" t="s">
        <v>177</v>
      </c>
      <c r="B49" s="384">
        <f>B48-B52</f>
        <v>60.606060606060609</v>
      </c>
      <c r="C49" s="280">
        <f>C50+C51</f>
        <v>11212121212.121212</v>
      </c>
      <c r="D49" s="297">
        <f>C49/C46</f>
        <v>60.606060606060602</v>
      </c>
      <c r="E49" s="426">
        <f>E50+E51</f>
        <v>0</v>
      </c>
      <c r="F49" s="155"/>
      <c r="G49" s="426">
        <f>(G46*1000*G41%)</f>
        <v>1960704000.0000002</v>
      </c>
      <c r="H49" s="419">
        <f>(J49/(C49+E49+G49))</f>
        <v>1.1488446076241735E-2</v>
      </c>
      <c r="I49" s="282">
        <f>100%-H49</f>
        <v>0.98851155392375822</v>
      </c>
      <c r="J49" s="291">
        <f>J50+J51</f>
        <v>151335292.12121212</v>
      </c>
      <c r="K49" s="293">
        <f t="shared" si="10"/>
        <v>1.2956700830950931</v>
      </c>
      <c r="L49" s="291">
        <f>L50+L51</f>
        <v>13021489920</v>
      </c>
      <c r="M49" s="293">
        <f t="shared" si="11"/>
        <v>184.89446424797092</v>
      </c>
    </row>
    <row r="50" spans="1:13" s="88" customFormat="1" ht="17.55" thickBot="1" x14ac:dyDescent="0.3">
      <c r="A50" s="272" t="s">
        <v>178</v>
      </c>
      <c r="B50" s="385">
        <f>B57+B64+B67+0.156+0.095+0.72+1.6+0.11</f>
        <v>2.9832736842105265</v>
      </c>
      <c r="C50" s="283">
        <f>D50*C46</f>
        <v>5606060606.060606</v>
      </c>
      <c r="D50" s="300">
        <f>1/2*B49</f>
        <v>30.303030303030305</v>
      </c>
      <c r="E50" s="426">
        <v>0</v>
      </c>
      <c r="F50" s="155"/>
      <c r="G50" s="426">
        <v>0</v>
      </c>
      <c r="H50" s="472">
        <v>0</v>
      </c>
      <c r="I50" s="282">
        <f t="shared" ref="I50:I72" si="12">100%-H50</f>
        <v>1</v>
      </c>
      <c r="J50" s="291">
        <f>($C50+$E50+$G50)*H50</f>
        <v>0</v>
      </c>
      <c r="K50" s="293">
        <f t="shared" si="10"/>
        <v>0</v>
      </c>
      <c r="L50" s="291">
        <f>($C50+$E50+$G50)*I50</f>
        <v>5606060606.060606</v>
      </c>
      <c r="M50" s="293">
        <f t="shared" si="11"/>
        <v>79.601457180963735</v>
      </c>
    </row>
    <row r="51" spans="1:13" s="88" customFormat="1" ht="17.55" thickBot="1" x14ac:dyDescent="0.3">
      <c r="A51" s="273" t="s">
        <v>179</v>
      </c>
      <c r="B51" s="385">
        <f>B49-B50</f>
        <v>57.622786921850086</v>
      </c>
      <c r="C51" s="302">
        <f>D51*C46</f>
        <v>5606060606.060606</v>
      </c>
      <c r="D51" s="300">
        <f>1/2*B49</f>
        <v>30.303030303030305</v>
      </c>
      <c r="E51" s="426">
        <v>0</v>
      </c>
      <c r="F51" s="155"/>
      <c r="G51" s="426">
        <f>G49</f>
        <v>1960704000.0000002</v>
      </c>
      <c r="H51" s="473">
        <v>0.02</v>
      </c>
      <c r="I51" s="282">
        <f t="shared" si="12"/>
        <v>0.98</v>
      </c>
      <c r="J51" s="291">
        <f>($C51+$E51+$G51)*H51</f>
        <v>151335292.12121212</v>
      </c>
      <c r="K51" s="293">
        <f t="shared" si="10"/>
        <v>1.2956700830950931</v>
      </c>
      <c r="L51" s="291">
        <f>($C51+$E51+$G51)*I51</f>
        <v>7415429313.939394</v>
      </c>
      <c r="M51" s="293">
        <f t="shared" si="11"/>
        <v>105.29300706700718</v>
      </c>
    </row>
    <row r="52" spans="1:13" s="88" customFormat="1" ht="21.3" thickBot="1" x14ac:dyDescent="0.4">
      <c r="A52" s="272" t="s">
        <v>180</v>
      </c>
      <c r="B52" s="467">
        <f>(26/66)*B48</f>
        <v>39.393939393939391</v>
      </c>
      <c r="C52" s="303">
        <f>C53+C54</f>
        <v>7287878787.878787</v>
      </c>
      <c r="D52" s="301">
        <f>C52/C46</f>
        <v>39.393939393939391</v>
      </c>
      <c r="E52" s="422">
        <f>E53+E54</f>
        <v>185000000</v>
      </c>
      <c r="F52" s="155"/>
      <c r="G52" s="422">
        <f>G53+G54</f>
        <v>0</v>
      </c>
      <c r="H52" s="419">
        <f>(J52/(C52+E52+G52))</f>
        <v>5.6564141035258808E-3</v>
      </c>
      <c r="I52" s="282">
        <f t="shared" si="12"/>
        <v>0.99434358589647409</v>
      </c>
      <c r="J52" s="291">
        <f>J53+J54</f>
        <v>42269696.969696961</v>
      </c>
      <c r="K52" s="293">
        <f t="shared" si="10"/>
        <v>0.36189563595823721</v>
      </c>
      <c r="L52" s="291">
        <f>L53+L54</f>
        <v>7430609090.90909</v>
      </c>
      <c r="M52" s="293">
        <f t="shared" si="11"/>
        <v>105.50854743508017</v>
      </c>
    </row>
    <row r="53" spans="1:13" s="88" customFormat="1" ht="17.55" thickBot="1" x14ac:dyDescent="0.3">
      <c r="A53" s="273" t="s">
        <v>181</v>
      </c>
      <c r="B53" s="265"/>
      <c r="C53" s="302">
        <f>D53*C46</f>
        <v>5174393939.393939</v>
      </c>
      <c r="D53" s="300">
        <f>71%*B52</f>
        <v>27.969696969696965</v>
      </c>
      <c r="E53" s="422">
        <f>$E$42*E$46/$E$44</f>
        <v>185000000</v>
      </c>
      <c r="F53" s="155"/>
      <c r="G53" s="422">
        <v>0</v>
      </c>
      <c r="H53" s="472">
        <v>0</v>
      </c>
      <c r="I53" s="282">
        <f t="shared" si="12"/>
        <v>1</v>
      </c>
      <c r="J53" s="291">
        <f>($C53+$E53+$G53)*H53</f>
        <v>0</v>
      </c>
      <c r="K53" s="293">
        <f t="shared" si="10"/>
        <v>0</v>
      </c>
      <c r="L53" s="291">
        <f>($C53+$E53+$G53)*I53</f>
        <v>5359393939.393939</v>
      </c>
      <c r="M53" s="293">
        <f t="shared" si="11"/>
        <v>76.098993065001324</v>
      </c>
    </row>
    <row r="54" spans="1:13" s="88" customFormat="1" ht="17.55" thickBot="1" x14ac:dyDescent="0.3">
      <c r="A54" s="272" t="s">
        <v>182</v>
      </c>
      <c r="B54" s="265"/>
      <c r="C54" s="302">
        <f>D54*C46</f>
        <v>2113484848.484848</v>
      </c>
      <c r="D54" s="300">
        <f>29%*B52</f>
        <v>11.424242424242422</v>
      </c>
      <c r="E54" s="422">
        <v>0</v>
      </c>
      <c r="F54" s="155"/>
      <c r="G54" s="422">
        <v>0</v>
      </c>
      <c r="H54" s="473">
        <v>0.02</v>
      </c>
      <c r="I54" s="282">
        <f t="shared" si="12"/>
        <v>0.98</v>
      </c>
      <c r="J54" s="291">
        <f>($C54+$E54+$G54)*H54</f>
        <v>42269696.969696961</v>
      </c>
      <c r="K54" s="293">
        <f t="shared" si="10"/>
        <v>0.36189563595823721</v>
      </c>
      <c r="L54" s="291">
        <f>($C54+$E54+$G54)*I54</f>
        <v>2071215151.515151</v>
      </c>
      <c r="M54" s="293">
        <f t="shared" si="11"/>
        <v>29.409554370078855</v>
      </c>
    </row>
    <row r="55" spans="1:13" s="88" customFormat="1" ht="21.3" thickBot="1" x14ac:dyDescent="0.4">
      <c r="A55" s="273" t="s">
        <v>183</v>
      </c>
      <c r="B55" s="295">
        <v>5.45</v>
      </c>
      <c r="C55" s="303">
        <f>C56+C59</f>
        <v>1008250000</v>
      </c>
      <c r="D55" s="299">
        <f>C55/C46</f>
        <v>5.45</v>
      </c>
      <c r="E55" s="422">
        <v>0</v>
      </c>
      <c r="F55" s="154"/>
      <c r="G55" s="422">
        <v>0</v>
      </c>
      <c r="H55" s="419">
        <f>(J55/(C55+E55+G55))</f>
        <v>2.8824915499758574E-2</v>
      </c>
      <c r="I55" s="282">
        <f t="shared" si="12"/>
        <v>0.97117508450024137</v>
      </c>
      <c r="J55" s="291">
        <f>J56+J59</f>
        <v>29062721.052631583</v>
      </c>
      <c r="K55" s="293">
        <f t="shared" si="10"/>
        <v>0.24882297891936744</v>
      </c>
      <c r="L55" s="291">
        <f>L56+L59</f>
        <v>979187278.94736838</v>
      </c>
      <c r="M55" s="293">
        <f t="shared" si="11"/>
        <v>13.903655299946054</v>
      </c>
    </row>
    <row r="56" spans="1:13" s="88" customFormat="1" ht="17.55" thickBot="1" x14ac:dyDescent="0.3">
      <c r="A56" s="272" t="s">
        <v>184</v>
      </c>
      <c r="B56" s="265">
        <f>D58/0.95</f>
        <v>5.1684210526315795</v>
      </c>
      <c r="C56" s="303">
        <f>C57+C58</f>
        <v>956157894.73684216</v>
      </c>
      <c r="D56" s="296">
        <f>C56/C46</f>
        <v>5.1684210526315795</v>
      </c>
      <c r="E56" s="422">
        <v>0</v>
      </c>
      <c r="F56" s="155"/>
      <c r="G56" s="422">
        <v>0</v>
      </c>
      <c r="H56" s="419">
        <f>(J56/(C56+E56+G56))</f>
        <v>2.8750000000000005E-2</v>
      </c>
      <c r="I56" s="282">
        <f t="shared" si="12"/>
        <v>0.97124999999999995</v>
      </c>
      <c r="J56" s="291">
        <f>J57+J58</f>
        <v>27489539.473684218</v>
      </c>
      <c r="K56" s="293">
        <f t="shared" si="10"/>
        <v>0.2353540499038817</v>
      </c>
      <c r="L56" s="291">
        <f>L57+L58</f>
        <v>928668355.26315796</v>
      </c>
      <c r="M56" s="293">
        <f t="shared" si="11"/>
        <v>13.186328067320419</v>
      </c>
    </row>
    <row r="57" spans="1:13" s="88" customFormat="1" ht="17.55" thickBot="1" x14ac:dyDescent="0.3">
      <c r="A57" s="273" t="s">
        <v>185</v>
      </c>
      <c r="B57" s="265"/>
      <c r="C57" s="303">
        <f>D57*C46</f>
        <v>47807894.736842178</v>
      </c>
      <c r="D57" s="296">
        <f>B56-D58</f>
        <v>0.25842105263157933</v>
      </c>
      <c r="E57" s="422">
        <v>0</v>
      </c>
      <c r="F57" s="154"/>
      <c r="G57" s="422">
        <v>0</v>
      </c>
      <c r="H57" s="473">
        <v>0.1</v>
      </c>
      <c r="I57" s="282">
        <f t="shared" si="12"/>
        <v>0.9</v>
      </c>
      <c r="J57" s="291">
        <f>($C57+$E57+$G57)*H57</f>
        <v>4780789.4736842178</v>
      </c>
      <c r="K57" s="293">
        <f t="shared" si="10"/>
        <v>4.0931139113718609E-2</v>
      </c>
      <c r="L57" s="291">
        <f>($C57+$E57+$G57)*I57</f>
        <v>43027105.263157964</v>
      </c>
      <c r="M57" s="293">
        <f t="shared" si="11"/>
        <v>0.61094956296465353</v>
      </c>
    </row>
    <row r="58" spans="1:13" s="88" customFormat="1" ht="21.3" thickBot="1" x14ac:dyDescent="0.4">
      <c r="A58" s="272" t="s">
        <v>186</v>
      </c>
      <c r="B58" s="295">
        <v>4.91</v>
      </c>
      <c r="C58" s="302">
        <f>D58*C46</f>
        <v>908350000</v>
      </c>
      <c r="D58" s="299">
        <f>B58</f>
        <v>4.91</v>
      </c>
      <c r="E58" s="422">
        <v>0</v>
      </c>
      <c r="F58" s="154"/>
      <c r="G58" s="422">
        <v>0</v>
      </c>
      <c r="H58" s="477">
        <v>2.5000000000000001E-2</v>
      </c>
      <c r="I58" s="282">
        <f t="shared" si="12"/>
        <v>0.97499999999999998</v>
      </c>
      <c r="J58" s="291">
        <f>($C58+$E58+$G58)*H58</f>
        <v>22708750</v>
      </c>
      <c r="K58" s="293">
        <f t="shared" si="10"/>
        <v>0.19442291079016311</v>
      </c>
      <c r="L58" s="291">
        <f>($C58+$E58+$G58)*I58</f>
        <v>885641250</v>
      </c>
      <c r="M58" s="293">
        <f t="shared" si="11"/>
        <v>12.575378504355765</v>
      </c>
    </row>
    <row r="59" spans="1:13" s="88" customFormat="1" ht="17.55" thickBot="1" x14ac:dyDescent="0.3">
      <c r="A59" s="273" t="s">
        <v>187</v>
      </c>
      <c r="B59" s="265">
        <f>B55-B56</f>
        <v>0.28157894736842071</v>
      </c>
      <c r="C59" s="303">
        <f>C60+C61</f>
        <v>52092105.26315783</v>
      </c>
      <c r="D59" s="296">
        <f>C59/C46</f>
        <v>0.28157894736842071</v>
      </c>
      <c r="E59" s="422">
        <v>0</v>
      </c>
      <c r="F59" s="154"/>
      <c r="G59" s="422">
        <v>0</v>
      </c>
      <c r="H59" s="419">
        <f>(J59/(C59+E59+G59))</f>
        <v>3.0200000000000005E-2</v>
      </c>
      <c r="I59" s="282">
        <f t="shared" si="12"/>
        <v>0.9698</v>
      </c>
      <c r="J59" s="291">
        <f>J60+J61</f>
        <v>1573181.5789473667</v>
      </c>
      <c r="K59" s="293">
        <f t="shared" si="10"/>
        <v>1.346892901548574E-2</v>
      </c>
      <c r="L59" s="291">
        <f>L60+L61</f>
        <v>50518923.684210464</v>
      </c>
      <c r="M59" s="293">
        <f t="shared" si="11"/>
        <v>0.71732723262563658</v>
      </c>
    </row>
    <row r="60" spans="1:13" s="88" customFormat="1" ht="17.55" thickBot="1" x14ac:dyDescent="0.3">
      <c r="A60" s="272" t="s">
        <v>188</v>
      </c>
      <c r="B60" s="265"/>
      <c r="C60" s="302">
        <f>D60*C46</f>
        <v>17711315.789473664</v>
      </c>
      <c r="D60" s="298">
        <f>0.34*B59</f>
        <v>9.5736842105263051E-2</v>
      </c>
      <c r="E60" s="422">
        <v>0</v>
      </c>
      <c r="F60" s="155"/>
      <c r="G60" s="422">
        <v>0</v>
      </c>
      <c r="H60" s="472">
        <v>0.05</v>
      </c>
      <c r="I60" s="282">
        <f t="shared" si="12"/>
        <v>0.95</v>
      </c>
      <c r="J60" s="291">
        <f>($C60+$E60+$G60)*H60</f>
        <v>885565.78947368322</v>
      </c>
      <c r="K60" s="293">
        <f t="shared" si="10"/>
        <v>7.5818474590482639E-3</v>
      </c>
      <c r="L60" s="291">
        <f>($C60+$E60+$G60)*I60</f>
        <v>16825749.999999981</v>
      </c>
      <c r="M60" s="293">
        <f t="shared" si="11"/>
        <v>0.23891183351008524</v>
      </c>
    </row>
    <row r="61" spans="1:13" s="88" customFormat="1" ht="17.55" thickBot="1" x14ac:dyDescent="0.3">
      <c r="A61" s="273" t="s">
        <v>189</v>
      </c>
      <c r="B61" s="265"/>
      <c r="C61" s="302">
        <f>D61*C46</f>
        <v>34380789.473684169</v>
      </c>
      <c r="D61" s="298">
        <f>0.66*B59</f>
        <v>0.18584210526315767</v>
      </c>
      <c r="E61" s="422">
        <v>0</v>
      </c>
      <c r="F61" s="155"/>
      <c r="G61" s="422">
        <v>0</v>
      </c>
      <c r="H61" s="472">
        <v>0.02</v>
      </c>
      <c r="I61" s="282">
        <f t="shared" si="12"/>
        <v>0.98</v>
      </c>
      <c r="J61" s="291">
        <f>($C61+$E61+$G61)*H61</f>
        <v>687615.78947368346</v>
      </c>
      <c r="K61" s="293">
        <f t="shared" si="10"/>
        <v>5.8870815564374757E-3</v>
      </c>
      <c r="L61" s="291">
        <f>($C61+$E61+$G61)*I61</f>
        <v>33693173.684210487</v>
      </c>
      <c r="M61" s="293">
        <f t="shared" si="11"/>
        <v>0.47841539911555148</v>
      </c>
    </row>
    <row r="62" spans="1:13" s="88" customFormat="1" ht="21.3" thickBot="1" x14ac:dyDescent="0.4">
      <c r="A62" s="272" t="s">
        <v>190</v>
      </c>
      <c r="B62" s="295">
        <v>0.4</v>
      </c>
      <c r="C62" s="303">
        <f>C63+C66</f>
        <v>74000000.000000015</v>
      </c>
      <c r="D62" s="299">
        <f>C62/C46</f>
        <v>0.40000000000000008</v>
      </c>
      <c r="E62" s="422">
        <v>0</v>
      </c>
      <c r="F62" s="154"/>
      <c r="G62" s="422">
        <v>0</v>
      </c>
      <c r="H62" s="419">
        <f>(J62/(C62+E62+G62))</f>
        <v>4.8863157894736831E-3</v>
      </c>
      <c r="I62" s="282">
        <f t="shared" si="12"/>
        <v>0.99511368421052637</v>
      </c>
      <c r="J62" s="291">
        <f>J63+J66</f>
        <v>361587.36842105264</v>
      </c>
      <c r="K62" s="293">
        <f t="shared" si="10"/>
        <v>3.0957612670612054E-3</v>
      </c>
      <c r="L62" s="291">
        <f>L63+L66</f>
        <v>73638412.631578952</v>
      </c>
      <c r="M62" s="293">
        <f t="shared" si="11"/>
        <v>1.0456049910751537</v>
      </c>
    </row>
    <row r="63" spans="1:13" s="88" customFormat="1" ht="17.55" thickBot="1" x14ac:dyDescent="0.3">
      <c r="A63" s="273" t="s">
        <v>191</v>
      </c>
      <c r="B63" s="384">
        <f>B65/0.19</f>
        <v>3.7894736842105259E-2</v>
      </c>
      <c r="C63" s="303">
        <f>C64+C65</f>
        <v>7010526.3157894732</v>
      </c>
      <c r="D63" s="296">
        <f>C63/C46</f>
        <v>3.7894736842105259E-2</v>
      </c>
      <c r="E63" s="422">
        <v>0</v>
      </c>
      <c r="F63" s="155"/>
      <c r="G63" s="422">
        <v>0</v>
      </c>
      <c r="H63" s="419">
        <f>(J63/(C63+E63+G63))</f>
        <v>3.8000000000000004E-3</v>
      </c>
      <c r="I63" s="282">
        <f t="shared" si="12"/>
        <v>0.99619999999999997</v>
      </c>
      <c r="J63" s="291">
        <f>J64+J65</f>
        <v>26640</v>
      </c>
      <c r="K63" s="293">
        <f t="shared" si="10"/>
        <v>2.2808064483734002E-4</v>
      </c>
      <c r="L63" s="291">
        <f>L64+L65</f>
        <v>6983886.3157894732</v>
      </c>
      <c r="M63" s="293">
        <f t="shared" si="11"/>
        <v>9.9165450855460177E-2</v>
      </c>
    </row>
    <row r="64" spans="1:13" s="88" customFormat="1" ht="17.55" thickBot="1" x14ac:dyDescent="0.3">
      <c r="A64" s="272" t="s">
        <v>192</v>
      </c>
      <c r="B64" s="385">
        <f>B63-B65</f>
        <v>3.0694736842105261E-2</v>
      </c>
      <c r="C64" s="303">
        <f>D64*C46</f>
        <v>5678526.3157894732</v>
      </c>
      <c r="D64" s="296">
        <f>B64</f>
        <v>3.0694736842105261E-2</v>
      </c>
      <c r="E64" s="422">
        <v>0</v>
      </c>
      <c r="F64" s="155"/>
      <c r="G64" s="422">
        <v>0</v>
      </c>
      <c r="H64" s="472">
        <v>0</v>
      </c>
      <c r="I64" s="282">
        <f t="shared" si="12"/>
        <v>1</v>
      </c>
      <c r="J64" s="291">
        <f>($C64+$E64+$G64)*H64</f>
        <v>0</v>
      </c>
      <c r="K64" s="293">
        <f t="shared" si="10"/>
        <v>0</v>
      </c>
      <c r="L64" s="291">
        <f>($C64+$E64+$G64)*I64</f>
        <v>5678526.3157894732</v>
      </c>
      <c r="M64" s="293">
        <f t="shared" si="11"/>
        <v>8.063041075378713E-2</v>
      </c>
    </row>
    <row r="65" spans="1:13" s="88" customFormat="1" ht="17.55" thickBot="1" x14ac:dyDescent="0.3">
      <c r="A65" s="273" t="s">
        <v>193</v>
      </c>
      <c r="B65" s="385">
        <f>0.018*B62</f>
        <v>7.1999999999999998E-3</v>
      </c>
      <c r="C65" s="302">
        <f>D65*C46</f>
        <v>1332000</v>
      </c>
      <c r="D65" s="298">
        <f>B65</f>
        <v>7.1999999999999998E-3</v>
      </c>
      <c r="E65" s="422">
        <v>0</v>
      </c>
      <c r="F65" s="155"/>
      <c r="G65" s="422">
        <v>0</v>
      </c>
      <c r="H65" s="475">
        <v>0.02</v>
      </c>
      <c r="I65" s="282">
        <f t="shared" si="12"/>
        <v>0.98</v>
      </c>
      <c r="J65" s="291">
        <f>($C65+$E65+$G65)*H65</f>
        <v>26640</v>
      </c>
      <c r="K65" s="294">
        <f t="shared" si="10"/>
        <v>2.2808064483734002E-4</v>
      </c>
      <c r="L65" s="291">
        <f>($C65+$E65+$G65)*I65</f>
        <v>1305360</v>
      </c>
      <c r="M65" s="294">
        <f t="shared" si="11"/>
        <v>1.8535040101673044E-2</v>
      </c>
    </row>
    <row r="66" spans="1:13" s="88" customFormat="1" ht="17.55" thickBot="1" x14ac:dyDescent="0.3">
      <c r="A66" s="272" t="s">
        <v>194</v>
      </c>
      <c r="B66" s="385">
        <f>B62-B63</f>
        <v>0.36210526315789476</v>
      </c>
      <c r="C66" s="303">
        <f>C67+C68</f>
        <v>66989473.684210539</v>
      </c>
      <c r="D66" s="296">
        <f>C66/C46</f>
        <v>0.36210526315789482</v>
      </c>
      <c r="E66" s="422">
        <v>0</v>
      </c>
      <c r="F66" s="154"/>
      <c r="G66" s="422">
        <v>0</v>
      </c>
      <c r="H66" s="419">
        <f>(J66/(C66+E66+G66))</f>
        <v>4.9999999999999992E-3</v>
      </c>
      <c r="I66" s="282">
        <f t="shared" si="12"/>
        <v>0.995</v>
      </c>
      <c r="J66" s="291">
        <f>J67+J68</f>
        <v>334947.36842105264</v>
      </c>
      <c r="K66" s="293">
        <f t="shared" si="10"/>
        <v>2.8676806222238658E-3</v>
      </c>
      <c r="L66" s="291">
        <f>L67+L68</f>
        <v>66654526.315789483</v>
      </c>
      <c r="M66" s="293">
        <f t="shared" si="11"/>
        <v>0.94643954021969356</v>
      </c>
    </row>
    <row r="67" spans="1:13" s="88" customFormat="1" ht="17.55" thickBot="1" x14ac:dyDescent="0.3">
      <c r="A67" s="273" t="s">
        <v>195</v>
      </c>
      <c r="B67" s="385">
        <f>B66*0.75</f>
        <v>0.27157894736842109</v>
      </c>
      <c r="C67" s="302">
        <f>D67*C46</f>
        <v>50242105.263157904</v>
      </c>
      <c r="D67" s="298">
        <f>B67</f>
        <v>0.27157894736842109</v>
      </c>
      <c r="E67" s="422">
        <v>0</v>
      </c>
      <c r="F67" s="155"/>
      <c r="G67" s="422">
        <v>0</v>
      </c>
      <c r="H67" s="473">
        <v>0</v>
      </c>
      <c r="I67" s="282">
        <f t="shared" si="12"/>
        <v>1</v>
      </c>
      <c r="J67" s="291">
        <f>($C67+$E67+$G67)*H67</f>
        <v>0</v>
      </c>
      <c r="K67" s="293">
        <f t="shared" si="10"/>
        <v>0</v>
      </c>
      <c r="L67" s="291">
        <f>($C67+$E67+$G67)*I67</f>
        <v>50242105.263157904</v>
      </c>
      <c r="M67" s="293">
        <f t="shared" si="11"/>
        <v>0.71339663835655298</v>
      </c>
    </row>
    <row r="68" spans="1:13" s="88" customFormat="1" ht="17.55" thickBot="1" x14ac:dyDescent="0.3">
      <c r="A68" s="272" t="s">
        <v>196</v>
      </c>
      <c r="B68" s="385">
        <f>B66*0.25</f>
        <v>9.0526315789473691E-2</v>
      </c>
      <c r="C68" s="302">
        <f>D68*C46</f>
        <v>16747368.421052633</v>
      </c>
      <c r="D68" s="298">
        <f>B68</f>
        <v>9.0526315789473691E-2</v>
      </c>
      <c r="E68" s="422">
        <v>0</v>
      </c>
      <c r="F68" s="155"/>
      <c r="G68" s="422">
        <v>0</v>
      </c>
      <c r="H68" s="476">
        <v>0.02</v>
      </c>
      <c r="I68" s="282">
        <f t="shared" si="12"/>
        <v>0.98</v>
      </c>
      <c r="J68" s="291">
        <f>($C68+$E68+$G68)*H68</f>
        <v>334947.36842105264</v>
      </c>
      <c r="K68" s="293">
        <f t="shared" si="10"/>
        <v>2.8676806222238658E-3</v>
      </c>
      <c r="L68" s="291">
        <f>($C68+$E68+$G68)*I68</f>
        <v>16412421.052631579</v>
      </c>
      <c r="M68" s="293">
        <f t="shared" si="11"/>
        <v>0.23304290186314061</v>
      </c>
    </row>
    <row r="69" spans="1:13" s="88" customFormat="1" ht="21.3" thickBot="1" x14ac:dyDescent="0.4">
      <c r="A69" s="273" t="s">
        <v>197</v>
      </c>
      <c r="B69" s="295">
        <v>5.38</v>
      </c>
      <c r="C69" s="303">
        <f>C70</f>
        <v>995300000</v>
      </c>
      <c r="D69" s="299">
        <f>C69/C46</f>
        <v>5.38</v>
      </c>
      <c r="E69" s="422">
        <v>0</v>
      </c>
      <c r="F69" s="154"/>
      <c r="G69" s="422">
        <v>0</v>
      </c>
      <c r="H69" s="419">
        <f>(J69/(C69+E69+G69))</f>
        <v>4.3E-3</v>
      </c>
      <c r="I69" s="282">
        <f t="shared" si="12"/>
        <v>0.99570000000000003</v>
      </c>
      <c r="J69" s="291">
        <f>J70</f>
        <v>4279790</v>
      </c>
      <c r="K69" s="293">
        <f t="shared" si="10"/>
        <v>3.664178915046544E-2</v>
      </c>
      <c r="L69" s="291">
        <f>L70</f>
        <v>991020210</v>
      </c>
      <c r="M69" s="293">
        <f t="shared" si="11"/>
        <v>14.071673204264295</v>
      </c>
    </row>
    <row r="70" spans="1:13" s="88" customFormat="1" ht="17.55" thickBot="1" x14ac:dyDescent="0.3">
      <c r="A70" s="272" t="s">
        <v>198</v>
      </c>
      <c r="B70" s="265"/>
      <c r="C70" s="303">
        <f>C71+C72</f>
        <v>995300000</v>
      </c>
      <c r="D70" s="296">
        <f>C70/C46</f>
        <v>5.38</v>
      </c>
      <c r="E70" s="422">
        <v>0</v>
      </c>
      <c r="F70" s="155"/>
      <c r="G70" s="422">
        <v>0</v>
      </c>
      <c r="H70" s="419">
        <f>(J70/(C70+E70+G70))</f>
        <v>4.3E-3</v>
      </c>
      <c r="I70" s="282">
        <f t="shared" si="12"/>
        <v>0.99570000000000003</v>
      </c>
      <c r="J70" s="291">
        <f>J71+J72</f>
        <v>4279790</v>
      </c>
      <c r="K70" s="293">
        <f t="shared" si="10"/>
        <v>3.664178915046544E-2</v>
      </c>
      <c r="L70" s="291">
        <f>L71+L72</f>
        <v>991020210</v>
      </c>
      <c r="M70" s="293">
        <f t="shared" si="11"/>
        <v>14.071673204264295</v>
      </c>
    </row>
    <row r="71" spans="1:13" s="88" customFormat="1" ht="17.55" thickBot="1" x14ac:dyDescent="0.3">
      <c r="A71" s="273" t="s">
        <v>199</v>
      </c>
      <c r="B71" s="266"/>
      <c r="C71" s="303">
        <f>D71*C46</f>
        <v>139342000.00000003</v>
      </c>
      <c r="D71" s="296">
        <f>0.14*B69</f>
        <v>0.75320000000000009</v>
      </c>
      <c r="E71" s="422">
        <v>0</v>
      </c>
      <c r="F71" s="155"/>
      <c r="G71" s="422">
        <v>0</v>
      </c>
      <c r="H71" s="473">
        <v>0</v>
      </c>
      <c r="I71" s="282">
        <f t="shared" si="12"/>
        <v>1</v>
      </c>
      <c r="J71" s="291">
        <f>($C71+$E71+$G71)*H71</f>
        <v>0</v>
      </c>
      <c r="K71" s="293">
        <f t="shared" si="10"/>
        <v>0</v>
      </c>
      <c r="L71" s="291">
        <f>($C71+$E71+$G71)*I71</f>
        <v>139342000.00000003</v>
      </c>
      <c r="M71" s="293">
        <f t="shared" si="11"/>
        <v>1.9785419791071626</v>
      </c>
    </row>
    <row r="72" spans="1:13" s="88" customFormat="1" ht="17.55" thickBot="1" x14ac:dyDescent="0.3">
      <c r="A72" s="272" t="s">
        <v>200</v>
      </c>
      <c r="B72" s="266"/>
      <c r="C72" s="302">
        <f>D72*C46</f>
        <v>855958000</v>
      </c>
      <c r="D72" s="298">
        <f>0.86*B69</f>
        <v>4.6268000000000002</v>
      </c>
      <c r="E72" s="423">
        <v>0</v>
      </c>
      <c r="F72" s="155"/>
      <c r="G72" s="423">
        <v>0</v>
      </c>
      <c r="H72" s="476">
        <v>5.0000000000000001E-3</v>
      </c>
      <c r="I72" s="282">
        <f t="shared" si="12"/>
        <v>0.995</v>
      </c>
      <c r="J72" s="291">
        <f>($C72+$E72+$G72)*H72</f>
        <v>4279790</v>
      </c>
      <c r="K72" s="293">
        <f t="shared" si="10"/>
        <v>3.664178915046544E-2</v>
      </c>
      <c r="L72" s="291">
        <f>($C72+$E72+$G72)*I72</f>
        <v>851678210</v>
      </c>
      <c r="M72" s="293">
        <f>L72/$L$46</f>
        <v>12.093131225157133</v>
      </c>
    </row>
    <row r="73" spans="1:13" s="88" customFormat="1" x14ac:dyDescent="0.25">
      <c r="C73" s="92"/>
      <c r="D73" s="92"/>
      <c r="F73" s="90"/>
      <c r="G73" s="90"/>
      <c r="H73" s="90"/>
      <c r="I73" s="90"/>
    </row>
    <row r="74" spans="1:13" s="365" customFormat="1" ht="15.05" thickBot="1" x14ac:dyDescent="0.3">
      <c r="C74" s="453"/>
      <c r="D74" s="453"/>
      <c r="F74" s="323"/>
      <c r="G74" s="323"/>
      <c r="H74" s="323"/>
      <c r="I74" s="323"/>
    </row>
    <row r="75" spans="1:13" s="88" customFormat="1" ht="15.05" x14ac:dyDescent="0.3">
      <c r="C75" s="92"/>
      <c r="D75" s="92"/>
      <c r="K75" s="101"/>
      <c r="M75" s="101"/>
    </row>
  </sheetData>
  <mergeCells count="10">
    <mergeCell ref="L1:M1"/>
    <mergeCell ref="E4:F4"/>
    <mergeCell ref="A5:A6"/>
    <mergeCell ref="E40:F40"/>
    <mergeCell ref="G40:H40"/>
    <mergeCell ref="A42:A43"/>
    <mergeCell ref="C1:D1"/>
    <mergeCell ref="E1:G1"/>
    <mergeCell ref="H1:I1"/>
    <mergeCell ref="J1:K1"/>
  </mergeCells>
  <conditionalFormatting sqref="B12">
    <cfRule type="cellIs" dxfId="7" priority="2" operator="lessThan">
      <formula>40</formula>
    </cfRule>
  </conditionalFormatting>
  <conditionalFormatting sqref="B48">
    <cfRule type="cellIs" dxfId="6" priority="1" operator="lessThan">
      <formula>40</formula>
    </cfRule>
  </conditionalFormatting>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DB79C-1B84-4023-A70D-79691E355F6C}">
  <dimension ref="A1:W143"/>
  <sheetViews>
    <sheetView zoomScale="60" zoomScaleNormal="60" workbookViewId="0">
      <pane xSplit="1" ySplit="3" topLeftCell="G73" activePane="bottomRight" state="frozen"/>
      <selection pane="topRight" activeCell="B1" sqref="B1"/>
      <selection pane="bottomLeft" activeCell="A4" sqref="A4"/>
      <selection pane="bottomRight" activeCell="A82" sqref="A82"/>
    </sheetView>
  </sheetViews>
  <sheetFormatPr defaultColWidth="10.796875" defaultRowHeight="14.4" x14ac:dyDescent="0.25"/>
  <cols>
    <col min="1" max="1" width="33.8984375" style="93" customWidth="1"/>
    <col min="2" max="2" width="33.59765625" style="253" customWidth="1"/>
    <col min="3" max="3" width="18.3984375" style="253" bestFit="1" customWidth="1"/>
    <col min="4" max="4" width="28" style="253" customWidth="1"/>
    <col min="5" max="5" width="14.296875" style="253" customWidth="1"/>
    <col min="6" max="6" width="14.296875" style="410" customWidth="1"/>
    <col min="7" max="7" width="15.09765625" style="253" bestFit="1" customWidth="1"/>
    <col min="8" max="8" width="14.296875" style="410" customWidth="1"/>
    <col min="9" max="9" width="16.59765625" style="253" bestFit="1" customWidth="1"/>
    <col min="10" max="10" width="24" style="410" customWidth="1"/>
    <col min="11" max="11" width="24.19921875" style="253" customWidth="1"/>
    <col min="12" max="12" width="24.5" style="253" customWidth="1"/>
    <col min="13" max="13" width="22.5" style="253" customWidth="1"/>
    <col min="14" max="14" width="23" style="253" customWidth="1"/>
    <col min="15" max="15" width="25.8984375" style="253" customWidth="1"/>
    <col min="16" max="16" width="21.19921875" style="253" customWidth="1"/>
    <col min="17" max="17" width="19.5" customWidth="1"/>
    <col min="18" max="18" width="24" style="253" customWidth="1"/>
    <col min="19" max="16384" width="10.796875" style="253"/>
  </cols>
  <sheetData>
    <row r="1" spans="1:23" s="410" customFormat="1" ht="22.85" customHeight="1" thickBot="1" x14ac:dyDescent="0.5">
      <c r="A1" s="271"/>
      <c r="C1" s="496" t="s">
        <v>363</v>
      </c>
      <c r="D1" s="497"/>
      <c r="E1" s="525" t="s">
        <v>364</v>
      </c>
      <c r="F1" s="513"/>
      <c r="G1" s="513"/>
      <c r="H1" s="513"/>
      <c r="I1" s="513"/>
      <c r="J1" s="513"/>
      <c r="K1" s="498" t="s">
        <v>480</v>
      </c>
      <c r="L1" s="499"/>
      <c r="M1" s="506" t="s">
        <v>330</v>
      </c>
      <c r="N1" s="509"/>
      <c r="O1" s="506" t="s">
        <v>167</v>
      </c>
      <c r="P1" s="509"/>
      <c r="Q1" s="506" t="s">
        <v>469</v>
      </c>
      <c r="R1" s="509"/>
    </row>
    <row r="2" spans="1:23" s="410" customFormat="1" ht="50.75" x14ac:dyDescent="0.25">
      <c r="C2" s="333" t="s">
        <v>171</v>
      </c>
      <c r="D2" s="334" t="s">
        <v>360</v>
      </c>
      <c r="E2" s="526" t="s">
        <v>468</v>
      </c>
      <c r="F2" s="526"/>
      <c r="G2" s="526"/>
      <c r="H2" s="526"/>
      <c r="K2" s="366" t="s">
        <v>466</v>
      </c>
      <c r="L2" s="366" t="s">
        <v>467</v>
      </c>
      <c r="M2" s="337" t="s">
        <v>1</v>
      </c>
      <c r="N2" s="338" t="s">
        <v>113</v>
      </c>
      <c r="O2" s="337" t="s">
        <v>1</v>
      </c>
      <c r="P2" s="338" t="s">
        <v>113</v>
      </c>
      <c r="Q2" s="337" t="s">
        <v>1</v>
      </c>
      <c r="R2" s="338" t="s">
        <v>113</v>
      </c>
    </row>
    <row r="3" spans="1:23" s="410" customFormat="1" ht="25.7" thickBot="1" x14ac:dyDescent="0.3">
      <c r="A3" s="93"/>
      <c r="B3" s="332" t="s">
        <v>478</v>
      </c>
      <c r="C3" s="322"/>
      <c r="D3" s="276" t="s">
        <v>130</v>
      </c>
      <c r="E3" s="527"/>
      <c r="F3" s="527"/>
      <c r="G3" s="527"/>
      <c r="H3" s="527"/>
      <c r="L3" s="276" t="s">
        <v>130</v>
      </c>
      <c r="N3" s="276" t="s">
        <v>130</v>
      </c>
      <c r="P3" s="276" t="s">
        <v>130</v>
      </c>
      <c r="R3" s="276" t="s">
        <v>130</v>
      </c>
    </row>
    <row r="4" spans="1:23" ht="17.399999999999999" customHeight="1" x14ac:dyDescent="0.25">
      <c r="B4" s="522" t="s">
        <v>477</v>
      </c>
      <c r="D4" s="528" t="str">
        <f>IF(D12&gt;15, "RO will not be able to process this stream, because of too high dry matter content!","")</f>
        <v/>
      </c>
      <c r="E4" s="523" t="str">
        <f>CONCATENATE(E5,"% NaOH solution for CIP")</f>
        <v>30% NaOH solution for CIP</v>
      </c>
      <c r="F4" s="524"/>
      <c r="G4" s="523" t="str">
        <f>CONCATENATE(G5,"% H2SO4 solution for CIP")</f>
        <v>37% H2SO4 solution for CIP</v>
      </c>
      <c r="H4" s="524"/>
      <c r="I4" s="523" t="str">
        <f>CONCATENATE(I5,"% H2SO4 solution for acidification membranes")</f>
        <v>96% H2SO4 solution for acidification membranes</v>
      </c>
      <c r="J4" s="524"/>
      <c r="K4" s="410"/>
      <c r="N4" s="410"/>
      <c r="O4" s="410"/>
      <c r="P4" s="410"/>
      <c r="Q4" s="410"/>
    </row>
    <row r="5" spans="1:23" ht="18" customHeight="1" x14ac:dyDescent="0.25">
      <c r="B5" s="522"/>
      <c r="D5" s="528"/>
      <c r="E5" s="458">
        <v>30</v>
      </c>
      <c r="F5" s="464" t="s">
        <v>14</v>
      </c>
      <c r="G5" s="458">
        <v>37</v>
      </c>
      <c r="H5" s="464" t="s">
        <v>14</v>
      </c>
      <c r="I5" s="458">
        <v>96</v>
      </c>
      <c r="J5" s="464" t="s">
        <v>14</v>
      </c>
      <c r="K5" s="410"/>
      <c r="M5" s="88"/>
      <c r="N5" s="410"/>
      <c r="O5" s="410"/>
      <c r="P5" s="410"/>
      <c r="Q5" s="410"/>
    </row>
    <row r="6" spans="1:23" ht="17.399999999999999" customHeight="1" x14ac:dyDescent="0.25">
      <c r="B6" s="522"/>
      <c r="D6" s="528"/>
      <c r="E6" s="459">
        <f>E5*10</f>
        <v>300</v>
      </c>
      <c r="F6" s="465" t="s">
        <v>465</v>
      </c>
      <c r="G6" s="459">
        <f>G5*10</f>
        <v>370</v>
      </c>
      <c r="H6" s="465" t="s">
        <v>457</v>
      </c>
      <c r="I6" s="459">
        <f>I5*10</f>
        <v>960</v>
      </c>
      <c r="J6" s="465" t="s">
        <v>457</v>
      </c>
      <c r="L6" s="88"/>
      <c r="N6" s="410"/>
      <c r="O6" s="410"/>
      <c r="P6" s="410"/>
      <c r="Q6" s="410"/>
    </row>
    <row r="7" spans="1:23" ht="18.5" customHeight="1" x14ac:dyDescent="0.3">
      <c r="B7" s="522"/>
      <c r="C7" s="144"/>
      <c r="D7" s="528"/>
      <c r="E7" s="458">
        <v>1.33</v>
      </c>
      <c r="F7" s="465" t="s">
        <v>201</v>
      </c>
      <c r="G7" s="458">
        <v>1.2768999999999999</v>
      </c>
      <c r="H7" s="465" t="s">
        <v>201</v>
      </c>
      <c r="I7" s="458">
        <v>1.84</v>
      </c>
      <c r="J7" s="465" t="s">
        <v>201</v>
      </c>
      <c r="L7" s="88"/>
      <c r="M7" s="101"/>
      <c r="N7" s="410"/>
      <c r="O7" s="410"/>
      <c r="P7" s="410"/>
      <c r="Q7" s="410"/>
    </row>
    <row r="8" spans="1:23" s="88" customFormat="1" ht="15.05" customHeight="1" x14ac:dyDescent="0.25">
      <c r="B8" s="522"/>
      <c r="D8" s="528"/>
      <c r="E8" s="459">
        <f>E$9*E$7</f>
        <v>0.73150000000000015</v>
      </c>
      <c r="F8" s="465" t="s">
        <v>441</v>
      </c>
      <c r="G8" s="459">
        <f>G$9*G$7</f>
        <v>2.04304</v>
      </c>
      <c r="H8" s="465" t="s">
        <v>441</v>
      </c>
      <c r="I8" s="459">
        <f>I$9*I$7</f>
        <v>13.34</v>
      </c>
      <c r="J8" s="465" t="s">
        <v>441</v>
      </c>
    </row>
    <row r="9" spans="1:23" s="88" customFormat="1" ht="88.3" thickBot="1" x14ac:dyDescent="0.3">
      <c r="A9" s="488"/>
      <c r="B9" s="490" t="s">
        <v>479</v>
      </c>
      <c r="D9" s="528"/>
      <c r="E9" s="460">
        <v>0.55000000000000004</v>
      </c>
      <c r="F9" s="444" t="str">
        <f>CONCATENATE("L ",E4,"/ton condensate")</f>
        <v>L 30% NaOH solution for CIP/ton condensate</v>
      </c>
      <c r="G9" s="460">
        <v>1.6</v>
      </c>
      <c r="H9" s="444" t="str">
        <f>CONCATENATE("L ",G4,"/ton condensate")</f>
        <v>L 37% H2SO4 solution for CIP/ton condensate</v>
      </c>
      <c r="I9" s="460">
        <v>7.25</v>
      </c>
      <c r="J9" s="444" t="str">
        <f>CONCATENATE("L ",I4,"/ton condensate")</f>
        <v>L 96% H2SO4 solution for acidification membranes/ton condensate</v>
      </c>
    </row>
    <row r="10" spans="1:23" s="88" customFormat="1" ht="21.3" thickBot="1" x14ac:dyDescent="0.4">
      <c r="A10" s="272" t="s">
        <v>361</v>
      </c>
      <c r="C10" s="489">
        <f>'Evaporation of low DM input'!J10</f>
        <v>765.60020756363633</v>
      </c>
      <c r="E10" s="479">
        <f>(E8/1000)*C10</f>
        <v>0.5600365518328001</v>
      </c>
      <c r="G10" s="479">
        <f>(G8/1000)*C10</f>
        <v>1.5641518480608114</v>
      </c>
      <c r="I10" s="425">
        <f>(I8/1000)*C10</f>
        <v>10.213106768898909</v>
      </c>
      <c r="J10" s="155"/>
      <c r="K10" s="452">
        <f>(M10/(C10+I10))</f>
        <v>0.4558497778318038</v>
      </c>
      <c r="L10" s="282">
        <f>100%-K10</f>
        <v>0.5441502221681962</v>
      </c>
      <c r="M10" s="483">
        <f>(M11+M12)/1000</f>
        <v>353.65432697744154</v>
      </c>
      <c r="N10" s="345"/>
      <c r="O10" s="483">
        <f>(O11+O12)/1000</f>
        <v>422.15898735509376</v>
      </c>
      <c r="P10" s="345"/>
      <c r="Q10" s="483">
        <f>(Q11+Q12)/1000</f>
        <v>2.1241883998936117</v>
      </c>
      <c r="R10" s="345"/>
    </row>
    <row r="11" spans="1:23" s="88" customFormat="1" ht="21.3" thickBot="1" x14ac:dyDescent="0.4">
      <c r="A11" s="273" t="s">
        <v>175</v>
      </c>
      <c r="B11" s="489">
        <f>'Evaporation of low DM input'!K11</f>
        <v>999.63348029315546</v>
      </c>
      <c r="C11" s="283">
        <f>(C10*1000)-C12</f>
        <v>765319.6</v>
      </c>
      <c r="D11" s="300">
        <f>B11</f>
        <v>999.63348029315546</v>
      </c>
      <c r="E11" s="480">
        <f>(E10*1000)-E12</f>
        <v>392.02558628296009</v>
      </c>
      <c r="G11" s="480">
        <f>(G10*1000)-G12</f>
        <v>985.41566427831128</v>
      </c>
      <c r="I11" s="426">
        <f>(I10*1000)-I12</f>
        <v>408.52427075595733</v>
      </c>
      <c r="J11" s="155"/>
      <c r="K11" s="472">
        <v>0.45</v>
      </c>
      <c r="L11" s="282">
        <f>100%-K11</f>
        <v>0.55000000000000004</v>
      </c>
      <c r="M11" s="484">
        <f>(C11+I11)*K11</f>
        <v>344577.65592184017</v>
      </c>
      <c r="N11" s="293">
        <f>M11/$M$10</f>
        <v>974.33462462292914</v>
      </c>
      <c r="O11" s="484">
        <f>(C11+I11)*L11</f>
        <v>421150.46834891581</v>
      </c>
      <c r="P11" s="293">
        <f>O11/$O$10</f>
        <v>997.6110445676012</v>
      </c>
      <c r="Q11" s="484">
        <f>(E11+G11)</f>
        <v>1377.4412505612713</v>
      </c>
      <c r="R11" s="293">
        <f>Q11/$Q$10</f>
        <v>648.45531151109731</v>
      </c>
    </row>
    <row r="12" spans="1:23" s="88" customFormat="1" ht="21.3" thickBot="1" x14ac:dyDescent="0.4">
      <c r="A12" s="272" t="s">
        <v>176</v>
      </c>
      <c r="B12" s="489">
        <f>'Evaporation of low DM input'!K12</f>
        <v>0.36651970684456708</v>
      </c>
      <c r="C12" s="280">
        <f>C13+C16</f>
        <v>280.60756363636369</v>
      </c>
      <c r="D12" s="300">
        <f t="shared" ref="D12:D36" si="0">B12</f>
        <v>0.36651970684456708</v>
      </c>
      <c r="E12" s="480">
        <f>E13+E16</f>
        <v>168.01096554984002</v>
      </c>
      <c r="G12" s="480">
        <f>G13+G16</f>
        <v>578.73618378250023</v>
      </c>
      <c r="I12" s="426">
        <f>I13+I16</f>
        <v>9804.5824981429523</v>
      </c>
      <c r="J12" s="155"/>
      <c r="K12" s="419">
        <f>(M12/(C12+I12))</f>
        <v>0.89999999999999991</v>
      </c>
      <c r="L12" s="282">
        <f t="shared" ref="L12:L35" si="1">100%-K12</f>
        <v>0.10000000000000009</v>
      </c>
      <c r="M12" s="484">
        <f>M13+M16</f>
        <v>9076.6710556013841</v>
      </c>
      <c r="N12" s="293">
        <f t="shared" ref="N12:N36" si="2">M12/$M$10</f>
        <v>25.665375377070831</v>
      </c>
      <c r="O12" s="484">
        <f>(C12+I12)*L12</f>
        <v>1008.5190061779325</v>
      </c>
      <c r="P12" s="293">
        <f t="shared" ref="P12:P36" si="3">O12/$O$10</f>
        <v>2.3889554323988116</v>
      </c>
      <c r="Q12" s="484">
        <f>Q13+Q16</f>
        <v>746.74714933234031</v>
      </c>
      <c r="R12" s="293">
        <f t="shared" ref="R12:R36" si="4">Q12/$Q$10</f>
        <v>351.54468848890264</v>
      </c>
    </row>
    <row r="13" spans="1:23" s="88" customFormat="1" ht="21.3" thickBot="1" x14ac:dyDescent="0.4">
      <c r="A13" s="273" t="s">
        <v>177</v>
      </c>
      <c r="B13" s="489">
        <f>'Evaporation of low DM input'!K13</f>
        <v>0.26617262661188601</v>
      </c>
      <c r="C13" s="280">
        <f>C14+C15</f>
        <v>203.78181818181821</v>
      </c>
      <c r="D13" s="300">
        <f t="shared" si="0"/>
        <v>0.26617262661188601</v>
      </c>
      <c r="E13" s="480">
        <f>(E10*1000*E5%)</f>
        <v>168.01096554984002</v>
      </c>
      <c r="G13" s="480">
        <f>(G10*1000*G5%)</f>
        <v>578.73618378250023</v>
      </c>
      <c r="I13" s="426">
        <f>(I10*1000*I5%)</f>
        <v>9804.5824981429523</v>
      </c>
      <c r="J13" s="155"/>
      <c r="K13" s="419">
        <f>(M13/(C13+I13))</f>
        <v>0.9</v>
      </c>
      <c r="L13" s="282">
        <f t="shared" si="1"/>
        <v>9.9999999999999978E-2</v>
      </c>
      <c r="M13" s="484">
        <f>M14+M15</f>
        <v>9007.5278846922938</v>
      </c>
      <c r="N13" s="293">
        <f t="shared" si="2"/>
        <v>25.469864773538752</v>
      </c>
      <c r="O13" s="484">
        <f>O14+O15</f>
        <v>1000.8364316324769</v>
      </c>
      <c r="P13" s="293">
        <f t="shared" si="3"/>
        <v>2.3707571356064387</v>
      </c>
      <c r="Q13" s="484">
        <f>Q14+Q15</f>
        <v>746.74714933234031</v>
      </c>
      <c r="R13" s="293">
        <f t="shared" si="4"/>
        <v>351.54468848890264</v>
      </c>
    </row>
    <row r="14" spans="1:23" s="88" customFormat="1" ht="21.3" thickBot="1" x14ac:dyDescent="0.4">
      <c r="A14" s="272" t="s">
        <v>178</v>
      </c>
      <c r="B14" s="489">
        <f>'Evaporation of low DM input'!K14</f>
        <v>0</v>
      </c>
      <c r="C14" s="283">
        <f>D14*C10</f>
        <v>0</v>
      </c>
      <c r="D14" s="300">
        <f t="shared" si="0"/>
        <v>0</v>
      </c>
      <c r="E14" s="480">
        <v>0</v>
      </c>
      <c r="G14" s="480">
        <v>0</v>
      </c>
      <c r="I14" s="426">
        <v>0</v>
      </c>
      <c r="J14" s="155"/>
      <c r="K14" s="472">
        <v>0.95</v>
      </c>
      <c r="L14" s="282">
        <f t="shared" si="1"/>
        <v>5.0000000000000044E-2</v>
      </c>
      <c r="M14" s="484">
        <f>(C14+I14)*K14</f>
        <v>0</v>
      </c>
      <c r="N14" s="293">
        <f t="shared" si="2"/>
        <v>0</v>
      </c>
      <c r="O14" s="484">
        <f>(C14+I14)*L14</f>
        <v>0</v>
      </c>
      <c r="P14" s="293">
        <f t="shared" si="3"/>
        <v>0</v>
      </c>
      <c r="Q14" s="484">
        <f t="shared" ref="Q14:Q15" si="5">(E14+G14)</f>
        <v>0</v>
      </c>
      <c r="R14" s="293">
        <f t="shared" si="4"/>
        <v>0</v>
      </c>
    </row>
    <row r="15" spans="1:23" s="88" customFormat="1" ht="21.3" thickBot="1" x14ac:dyDescent="0.4">
      <c r="A15" s="273" t="s">
        <v>179</v>
      </c>
      <c r="B15" s="489">
        <f>'Evaporation of low DM input'!K15</f>
        <v>0.26617262661188601</v>
      </c>
      <c r="C15" s="302">
        <f>D15*C10</f>
        <v>203.78181818181821</v>
      </c>
      <c r="D15" s="300">
        <f t="shared" si="0"/>
        <v>0.26617262661188601</v>
      </c>
      <c r="E15" s="480">
        <f>E13</f>
        <v>168.01096554984002</v>
      </c>
      <c r="G15" s="480">
        <f>G13</f>
        <v>578.73618378250023</v>
      </c>
      <c r="I15" s="426">
        <f>I13</f>
        <v>9804.5824981429523</v>
      </c>
      <c r="J15" s="155"/>
      <c r="K15" s="473">
        <v>0.9</v>
      </c>
      <c r="L15" s="282">
        <f t="shared" si="1"/>
        <v>9.9999999999999978E-2</v>
      </c>
      <c r="M15" s="484">
        <f>(C15+I15)*K15</f>
        <v>9007.5278846922938</v>
      </c>
      <c r="N15" s="293">
        <f t="shared" si="2"/>
        <v>25.469864773538752</v>
      </c>
      <c r="O15" s="484">
        <f>(C15+I15)*L15</f>
        <v>1000.8364316324769</v>
      </c>
      <c r="P15" s="293">
        <f t="shared" si="3"/>
        <v>2.3707571356064387</v>
      </c>
      <c r="Q15" s="484">
        <f t="shared" si="5"/>
        <v>746.74714933234031</v>
      </c>
      <c r="R15" s="293">
        <f t="shared" si="4"/>
        <v>351.54468848890264</v>
      </c>
      <c r="W15" s="253"/>
    </row>
    <row r="16" spans="1:23" s="88" customFormat="1" ht="21.3" thickBot="1" x14ac:dyDescent="0.4">
      <c r="A16" s="272" t="s">
        <v>180</v>
      </c>
      <c r="B16" s="489">
        <f>'Evaporation of low DM input'!K16</f>
        <v>0.10034708023268102</v>
      </c>
      <c r="C16" s="303">
        <f>C17+C18</f>
        <v>76.825745454545455</v>
      </c>
      <c r="D16" s="300">
        <f t="shared" si="0"/>
        <v>0.10034708023268102</v>
      </c>
      <c r="E16" s="481">
        <f>E17+E18</f>
        <v>0</v>
      </c>
      <c r="G16" s="481">
        <f>G17+G18</f>
        <v>0</v>
      </c>
      <c r="I16" s="422">
        <f>I17+I18</f>
        <v>0</v>
      </c>
      <c r="J16" s="155"/>
      <c r="K16" s="419">
        <f>(M16/(C16+I16))</f>
        <v>0.9</v>
      </c>
      <c r="L16" s="282">
        <f t="shared" si="1"/>
        <v>9.9999999999999978E-2</v>
      </c>
      <c r="M16" s="484">
        <f>M17+M18</f>
        <v>69.143170909090912</v>
      </c>
      <c r="N16" s="293">
        <f t="shared" si="2"/>
        <v>0.1955106035320793</v>
      </c>
      <c r="O16" s="484">
        <f>O17+O18</f>
        <v>7.6825745454545435</v>
      </c>
      <c r="P16" s="293">
        <f t="shared" si="3"/>
        <v>1.8198296792370412E-2</v>
      </c>
      <c r="Q16" s="484">
        <f>Q17+Q18</f>
        <v>0</v>
      </c>
      <c r="R16" s="293">
        <f t="shared" si="4"/>
        <v>0</v>
      </c>
      <c r="W16" s="253"/>
    </row>
    <row r="17" spans="1:18" s="88" customFormat="1" ht="21.3" thickBot="1" x14ac:dyDescent="0.4">
      <c r="A17" s="273" t="s">
        <v>181</v>
      </c>
      <c r="B17" s="489">
        <f>'Evaporation of low DM input'!K17</f>
        <v>0</v>
      </c>
      <c r="C17" s="302">
        <f>D17*C10</f>
        <v>0</v>
      </c>
      <c r="D17" s="300">
        <f t="shared" si="0"/>
        <v>0</v>
      </c>
      <c r="E17" s="481">
        <v>0</v>
      </c>
      <c r="G17" s="481">
        <v>0</v>
      </c>
      <c r="I17" s="422">
        <v>0</v>
      </c>
      <c r="J17" s="155"/>
      <c r="K17" s="472">
        <v>0.95</v>
      </c>
      <c r="L17" s="282">
        <f t="shared" si="1"/>
        <v>5.0000000000000044E-2</v>
      </c>
      <c r="M17" s="484">
        <f>(C17+I17)*K17</f>
        <v>0</v>
      </c>
      <c r="N17" s="293">
        <f t="shared" si="2"/>
        <v>0</v>
      </c>
      <c r="O17" s="484">
        <f>(C17+I17)*L17</f>
        <v>0</v>
      </c>
      <c r="P17" s="293">
        <f t="shared" si="3"/>
        <v>0</v>
      </c>
      <c r="Q17" s="484">
        <f>(E17+G17)</f>
        <v>0</v>
      </c>
      <c r="R17" s="293">
        <f t="shared" si="4"/>
        <v>0</v>
      </c>
    </row>
    <row r="18" spans="1:18" s="88" customFormat="1" ht="21.3" thickBot="1" x14ac:dyDescent="0.4">
      <c r="A18" s="272" t="s">
        <v>182</v>
      </c>
      <c r="B18" s="489">
        <f>'Evaporation of low DM input'!K18</f>
        <v>0.10034708023268102</v>
      </c>
      <c r="C18" s="302">
        <f>D18*C10</f>
        <v>76.825745454545455</v>
      </c>
      <c r="D18" s="300">
        <f t="shared" si="0"/>
        <v>0.10034708023268102</v>
      </c>
      <c r="E18" s="481">
        <v>0</v>
      </c>
      <c r="G18" s="481">
        <v>0</v>
      </c>
      <c r="I18" s="422">
        <v>0</v>
      </c>
      <c r="J18" s="155"/>
      <c r="K18" s="473">
        <v>0.9</v>
      </c>
      <c r="L18" s="282">
        <f t="shared" si="1"/>
        <v>9.9999999999999978E-2</v>
      </c>
      <c r="M18" s="484">
        <f>(C18+I18)*K18</f>
        <v>69.143170909090912</v>
      </c>
      <c r="N18" s="293">
        <f t="shared" si="2"/>
        <v>0.1955106035320793</v>
      </c>
      <c r="O18" s="484">
        <f>(C18+I18)*L18</f>
        <v>7.6825745454545435</v>
      </c>
      <c r="P18" s="293">
        <f t="shared" si="3"/>
        <v>1.8198296792370412E-2</v>
      </c>
      <c r="Q18" s="484">
        <f>(E18+G18)</f>
        <v>0</v>
      </c>
      <c r="R18" s="293">
        <f t="shared" si="4"/>
        <v>0</v>
      </c>
    </row>
    <row r="19" spans="1:18" s="88" customFormat="1" ht="21.3" thickBot="1" x14ac:dyDescent="0.4">
      <c r="A19" s="273" t="s">
        <v>183</v>
      </c>
      <c r="B19" s="489">
        <f>'Evaporation of low DM input'!K19</f>
        <v>3.6364568456024919</v>
      </c>
      <c r="C19" s="303">
        <f>C20+C23</f>
        <v>2784.0721157894741</v>
      </c>
      <c r="D19" s="300">
        <f t="shared" si="0"/>
        <v>3.6364568456024919</v>
      </c>
      <c r="E19" s="481">
        <v>0</v>
      </c>
      <c r="G19" s="481">
        <v>0</v>
      </c>
      <c r="I19" s="422">
        <v>0</v>
      </c>
      <c r="J19" s="154"/>
      <c r="K19" s="419">
        <f>(M19/(C19+I19))</f>
        <v>0.95087260065718715</v>
      </c>
      <c r="L19" s="282">
        <f t="shared" si="1"/>
        <v>4.912739934281285E-2</v>
      </c>
      <c r="M19" s="484">
        <f>M20+M23</f>
        <v>2647.2978931578946</v>
      </c>
      <c r="N19" s="293">
        <f t="shared" si="2"/>
        <v>7.4855521089856678</v>
      </c>
      <c r="O19" s="484">
        <f>O20+O23</f>
        <v>136.77422263157908</v>
      </c>
      <c r="P19" s="293">
        <f t="shared" si="3"/>
        <v>0.32398747090165142</v>
      </c>
      <c r="Q19" s="484">
        <f>Q20+Q23</f>
        <v>0</v>
      </c>
      <c r="R19" s="293">
        <f t="shared" si="4"/>
        <v>0</v>
      </c>
    </row>
    <row r="20" spans="1:18" s="88" customFormat="1" ht="21.3" thickBot="1" x14ac:dyDescent="0.4">
      <c r="A20" s="272" t="s">
        <v>184</v>
      </c>
      <c r="B20" s="489">
        <f>'Evaporation of low DM input'!K20</f>
        <v>3.5365936625352958</v>
      </c>
      <c r="C20" s="303">
        <f>C21+C22</f>
        <v>2707.6168421052635</v>
      </c>
      <c r="D20" s="300">
        <f t="shared" si="0"/>
        <v>3.5365936625352958</v>
      </c>
      <c r="E20" s="481">
        <v>0</v>
      </c>
      <c r="G20" s="481">
        <v>0</v>
      </c>
      <c r="I20" s="422">
        <v>0</v>
      </c>
      <c r="J20" s="155"/>
      <c r="K20" s="419">
        <f>(M20/(C20+I20))</f>
        <v>0.9502614379084966</v>
      </c>
      <c r="L20" s="282">
        <f t="shared" si="1"/>
        <v>4.9738562091503402E-2</v>
      </c>
      <c r="M20" s="484">
        <f>M21+M22</f>
        <v>2572.9438736842103</v>
      </c>
      <c r="N20" s="293">
        <f t="shared" si="2"/>
        <v>7.2753072065433262</v>
      </c>
      <c r="O20" s="484">
        <f>O21+O22</f>
        <v>134.67296842105276</v>
      </c>
      <c r="P20" s="293">
        <f t="shared" si="3"/>
        <v>0.31901007074326304</v>
      </c>
      <c r="Q20" s="484">
        <f>Q21+Q22</f>
        <v>0</v>
      </c>
      <c r="R20" s="293">
        <f t="shared" si="4"/>
        <v>0</v>
      </c>
    </row>
    <row r="21" spans="1:18" s="88" customFormat="1" ht="21.3" thickBot="1" x14ac:dyDescent="0.4">
      <c r="A21" s="273" t="s">
        <v>185</v>
      </c>
      <c r="B21" s="489">
        <f>'Evaporation of low DM input'!K21</f>
        <v>2.3114991258400643E-2</v>
      </c>
      <c r="C21" s="303">
        <f>D21*C10</f>
        <v>17.696842105263173</v>
      </c>
      <c r="D21" s="300">
        <f t="shared" si="0"/>
        <v>2.3114991258400643E-2</v>
      </c>
      <c r="E21" s="481">
        <v>0</v>
      </c>
      <c r="F21" s="154"/>
      <c r="G21" s="481">
        <v>0</v>
      </c>
      <c r="I21" s="422">
        <v>0</v>
      </c>
      <c r="J21" s="154"/>
      <c r="K21" s="473">
        <v>0.99</v>
      </c>
      <c r="L21" s="282">
        <f t="shared" si="1"/>
        <v>1.0000000000000009E-2</v>
      </c>
      <c r="M21" s="484">
        <f>(C21+I21)*K21</f>
        <v>17.519873684210541</v>
      </c>
      <c r="N21" s="293">
        <f t="shared" si="2"/>
        <v>4.9539542846673772E-2</v>
      </c>
      <c r="O21" s="484">
        <f>(C21+I21)*L21</f>
        <v>0.17696842105263189</v>
      </c>
      <c r="P21" s="293">
        <f t="shared" si="3"/>
        <v>4.1919851608838808E-4</v>
      </c>
      <c r="Q21" s="484">
        <f>(E21+G21)</f>
        <v>0</v>
      </c>
      <c r="R21" s="293">
        <f t="shared" si="4"/>
        <v>0</v>
      </c>
    </row>
    <row r="22" spans="1:18" s="88" customFormat="1" ht="21.3" thickBot="1" x14ac:dyDescent="0.4">
      <c r="A22" s="272" t="s">
        <v>186</v>
      </c>
      <c r="B22" s="489">
        <f>'Evaporation of low DM input'!K22</f>
        <v>3.5134786712768951</v>
      </c>
      <c r="C22" s="302">
        <f>D22*C10</f>
        <v>2689.92</v>
      </c>
      <c r="D22" s="300">
        <f t="shared" si="0"/>
        <v>3.5134786712768951</v>
      </c>
      <c r="E22" s="481">
        <v>0</v>
      </c>
      <c r="F22" s="154"/>
      <c r="G22" s="481">
        <v>0</v>
      </c>
      <c r="I22" s="422">
        <v>0</v>
      </c>
      <c r="J22" s="154"/>
      <c r="K22" s="474">
        <v>0.95</v>
      </c>
      <c r="L22" s="282">
        <f t="shared" si="1"/>
        <v>5.0000000000000044E-2</v>
      </c>
      <c r="M22" s="484">
        <f>(C22+I22)*K22</f>
        <v>2555.424</v>
      </c>
      <c r="N22" s="293">
        <f t="shared" si="2"/>
        <v>7.2257676636966526</v>
      </c>
      <c r="O22" s="484">
        <f>(C22+I22)*L22</f>
        <v>134.49600000000012</v>
      </c>
      <c r="P22" s="293">
        <f t="shared" si="3"/>
        <v>0.31859087222717469</v>
      </c>
      <c r="Q22" s="484">
        <f>(E22+G22)</f>
        <v>0</v>
      </c>
      <c r="R22" s="293">
        <f t="shared" si="4"/>
        <v>0</v>
      </c>
    </row>
    <row r="23" spans="1:18" s="88" customFormat="1" ht="21.3" thickBot="1" x14ac:dyDescent="0.4">
      <c r="A23" s="273" t="s">
        <v>187</v>
      </c>
      <c r="B23" s="489">
        <f>'Evaporation of low DM input'!K23</f>
        <v>9.9863183067195813E-2</v>
      </c>
      <c r="C23" s="303">
        <f>C24+C25</f>
        <v>76.455273684210525</v>
      </c>
      <c r="D23" s="300">
        <f t="shared" si="0"/>
        <v>9.9863183067195813E-2</v>
      </c>
      <c r="E23" s="481">
        <v>0</v>
      </c>
      <c r="F23" s="154"/>
      <c r="G23" s="481">
        <v>0</v>
      </c>
      <c r="I23" s="422">
        <v>0</v>
      </c>
      <c r="J23" s="154"/>
      <c r="K23" s="419">
        <f>(M23/(C23+I23))</f>
        <v>0.97251655629139067</v>
      </c>
      <c r="L23" s="282">
        <f t="shared" si="1"/>
        <v>2.7483443708609334E-2</v>
      </c>
      <c r="M23" s="484">
        <f>M24+M25</f>
        <v>74.354019473684204</v>
      </c>
      <c r="N23" s="293">
        <f t="shared" si="2"/>
        <v>0.21024490244234167</v>
      </c>
      <c r="O23" s="484">
        <f>O24+O25</f>
        <v>2.1012542105263177</v>
      </c>
      <c r="P23" s="293">
        <f t="shared" si="3"/>
        <v>4.97740015838837E-3</v>
      </c>
      <c r="Q23" s="484">
        <f>Q24+Q25</f>
        <v>0</v>
      </c>
      <c r="R23" s="293">
        <f t="shared" si="4"/>
        <v>0</v>
      </c>
    </row>
    <row r="24" spans="1:18" s="88" customFormat="1" ht="21.3" thickBot="1" x14ac:dyDescent="0.4">
      <c r="A24" s="272" t="s">
        <v>188</v>
      </c>
      <c r="B24" s="489">
        <f>'Evaporation of low DM input'!K24</f>
        <v>5.6214374574249291E-2</v>
      </c>
      <c r="C24" s="302">
        <f>D24*C10</f>
        <v>43.037736842105261</v>
      </c>
      <c r="D24" s="300">
        <f t="shared" si="0"/>
        <v>5.6214374574249291E-2</v>
      </c>
      <c r="E24" s="481">
        <v>0</v>
      </c>
      <c r="F24" s="155"/>
      <c r="G24" s="481">
        <v>0</v>
      </c>
      <c r="H24" s="155"/>
      <c r="I24" s="422">
        <v>0</v>
      </c>
      <c r="J24" s="155"/>
      <c r="K24" s="472">
        <v>0.99</v>
      </c>
      <c r="L24" s="282">
        <f t="shared" si="1"/>
        <v>1.0000000000000009E-2</v>
      </c>
      <c r="M24" s="484">
        <f>(C24+I24)*K24</f>
        <v>42.607359473684205</v>
      </c>
      <c r="N24" s="293">
        <f t="shared" si="2"/>
        <v>0.12047741600628568</v>
      </c>
      <c r="O24" s="484">
        <f>(C24+I24)*L24</f>
        <v>0.43037736842105301</v>
      </c>
      <c r="P24" s="293">
        <f t="shared" si="3"/>
        <v>1.0194675023205097E-3</v>
      </c>
      <c r="Q24" s="484">
        <f>(E24+G24)</f>
        <v>0</v>
      </c>
      <c r="R24" s="293">
        <f t="shared" si="4"/>
        <v>0</v>
      </c>
    </row>
    <row r="25" spans="1:18" s="88" customFormat="1" ht="21.3" thickBot="1" x14ac:dyDescent="0.4">
      <c r="A25" s="273" t="s">
        <v>189</v>
      </c>
      <c r="B25" s="489">
        <f>'Evaporation of low DM input'!K25</f>
        <v>4.3648808492946514E-2</v>
      </c>
      <c r="C25" s="302">
        <f>D25*C10</f>
        <v>33.417536842105264</v>
      </c>
      <c r="D25" s="300">
        <f t="shared" si="0"/>
        <v>4.3648808492946514E-2</v>
      </c>
      <c r="E25" s="481">
        <v>0</v>
      </c>
      <c r="F25" s="155"/>
      <c r="G25" s="481">
        <v>0</v>
      </c>
      <c r="H25" s="155"/>
      <c r="I25" s="422">
        <v>0</v>
      </c>
      <c r="J25" s="155"/>
      <c r="K25" s="472">
        <v>0.95</v>
      </c>
      <c r="L25" s="282">
        <f t="shared" si="1"/>
        <v>5.0000000000000044E-2</v>
      </c>
      <c r="M25" s="484">
        <f>(C25+I25)*K25</f>
        <v>31.746659999999999</v>
      </c>
      <c r="N25" s="293">
        <f t="shared" si="2"/>
        <v>8.9767486436056004E-2</v>
      </c>
      <c r="O25" s="484">
        <f>(C25+I25)*L25</f>
        <v>1.6708768421052647</v>
      </c>
      <c r="P25" s="293">
        <f t="shared" si="3"/>
        <v>3.9579326560678606E-3</v>
      </c>
      <c r="Q25" s="484">
        <f>(E25+G25)</f>
        <v>0</v>
      </c>
      <c r="R25" s="293">
        <f t="shared" si="4"/>
        <v>0</v>
      </c>
    </row>
    <row r="26" spans="1:18" s="88" customFormat="1" ht="21.3" thickBot="1" x14ac:dyDescent="0.4">
      <c r="A26" s="272" t="s">
        <v>190</v>
      </c>
      <c r="B26" s="489">
        <f>'Evaporation of low DM input'!K26</f>
        <v>6.1639976689068336E-3</v>
      </c>
      <c r="C26" s="303">
        <f>C27+C30</f>
        <v>4.719157894736842</v>
      </c>
      <c r="D26" s="300">
        <f t="shared" si="0"/>
        <v>6.1639976689068336E-3</v>
      </c>
      <c r="E26" s="481">
        <v>0</v>
      </c>
      <c r="F26" s="154"/>
      <c r="G26" s="481">
        <v>0</v>
      </c>
      <c r="H26" s="154"/>
      <c r="I26" s="422">
        <v>0</v>
      </c>
      <c r="J26" s="154"/>
      <c r="K26" s="419">
        <f>(M26/(C26+I26))</f>
        <v>0.96624999999999994</v>
      </c>
      <c r="L26" s="282">
        <f t="shared" si="1"/>
        <v>3.3750000000000058E-2</v>
      </c>
      <c r="M26" s="484">
        <f>M27+M30</f>
        <v>4.5598863157894733</v>
      </c>
      <c r="N26" s="293">
        <f t="shared" si="2"/>
        <v>1.2893625124740333E-2</v>
      </c>
      <c r="O26" s="484">
        <f>O27+O30</f>
        <v>0.15927157894736854</v>
      </c>
      <c r="P26" s="293">
        <f t="shared" si="3"/>
        <v>3.772786644795489E-4</v>
      </c>
      <c r="Q26" s="484">
        <f>Q27+Q30</f>
        <v>0</v>
      </c>
      <c r="R26" s="293">
        <f t="shared" si="4"/>
        <v>0</v>
      </c>
    </row>
    <row r="27" spans="1:18" s="88" customFormat="1" ht="21.3" thickBot="1" x14ac:dyDescent="0.4">
      <c r="A27" s="273" t="s">
        <v>191</v>
      </c>
      <c r="B27" s="489">
        <f>'Evaporation of low DM input'!K27</f>
        <v>3.6598736159134324E-3</v>
      </c>
      <c r="C27" s="303">
        <f>C28+C29</f>
        <v>2.802</v>
      </c>
      <c r="D27" s="300">
        <f t="shared" si="0"/>
        <v>3.6598736159134324E-3</v>
      </c>
      <c r="E27" s="481">
        <v>0</v>
      </c>
      <c r="F27" s="155"/>
      <c r="G27" s="481">
        <v>0</v>
      </c>
      <c r="H27" s="155"/>
      <c r="I27" s="422">
        <v>0</v>
      </c>
      <c r="J27" s="155"/>
      <c r="K27" s="419">
        <f>(M27/(C27+I27))</f>
        <v>0.94999999999999984</v>
      </c>
      <c r="L27" s="282">
        <f t="shared" si="1"/>
        <v>5.0000000000000155E-2</v>
      </c>
      <c r="M27" s="484">
        <f>M28+M29</f>
        <v>2.6618999999999997</v>
      </c>
      <c r="N27" s="293">
        <f t="shared" si="2"/>
        <v>7.5268413163506794E-3</v>
      </c>
      <c r="O27" s="484">
        <f>O28+O29</f>
        <v>0.14010000000000011</v>
      </c>
      <c r="P27" s="293">
        <f t="shared" si="3"/>
        <v>3.3186549190330691E-4</v>
      </c>
      <c r="Q27" s="484">
        <f>Q28+Q29</f>
        <v>0</v>
      </c>
      <c r="R27" s="293">
        <f t="shared" si="4"/>
        <v>0</v>
      </c>
    </row>
    <row r="28" spans="1:18" s="88" customFormat="1" ht="21.3" thickBot="1" x14ac:dyDescent="0.4">
      <c r="A28" s="272" t="s">
        <v>192</v>
      </c>
      <c r="B28" s="489">
        <f>'Evaporation of low DM input'!K28</f>
        <v>0</v>
      </c>
      <c r="C28" s="303">
        <f>D28*C10</f>
        <v>0</v>
      </c>
      <c r="D28" s="300">
        <f t="shared" si="0"/>
        <v>0</v>
      </c>
      <c r="E28" s="481">
        <v>0</v>
      </c>
      <c r="F28" s="155"/>
      <c r="G28" s="481">
        <v>0</v>
      </c>
      <c r="H28" s="155"/>
      <c r="I28" s="422">
        <v>0</v>
      </c>
      <c r="J28" s="155"/>
      <c r="K28" s="472">
        <v>0.99</v>
      </c>
      <c r="L28" s="282">
        <f t="shared" si="1"/>
        <v>1.0000000000000009E-2</v>
      </c>
      <c r="M28" s="484">
        <f>(C28+I28)*K28</f>
        <v>0</v>
      </c>
      <c r="N28" s="293">
        <f t="shared" si="2"/>
        <v>0</v>
      </c>
      <c r="O28" s="484">
        <f>(C28+I28)*L28</f>
        <v>0</v>
      </c>
      <c r="P28" s="293">
        <f t="shared" si="3"/>
        <v>0</v>
      </c>
      <c r="Q28" s="484">
        <f>(E28+G28)</f>
        <v>0</v>
      </c>
      <c r="R28" s="293">
        <f t="shared" si="4"/>
        <v>0</v>
      </c>
    </row>
    <row r="29" spans="1:18" s="88" customFormat="1" ht="21.3" thickBot="1" x14ac:dyDescent="0.4">
      <c r="A29" s="273" t="s">
        <v>193</v>
      </c>
      <c r="B29" s="489">
        <f>'Evaporation of low DM input'!K29</f>
        <v>3.6598736159134324E-3</v>
      </c>
      <c r="C29" s="302">
        <f>D29*C10</f>
        <v>2.802</v>
      </c>
      <c r="D29" s="300">
        <f t="shared" si="0"/>
        <v>3.6598736159134324E-3</v>
      </c>
      <c r="E29" s="481">
        <v>0</v>
      </c>
      <c r="F29" s="155"/>
      <c r="G29" s="481">
        <v>0</v>
      </c>
      <c r="H29" s="155"/>
      <c r="I29" s="422">
        <v>0</v>
      </c>
      <c r="J29" s="155"/>
      <c r="K29" s="475">
        <v>0.95</v>
      </c>
      <c r="L29" s="282">
        <f t="shared" si="1"/>
        <v>5.0000000000000044E-2</v>
      </c>
      <c r="M29" s="484">
        <f>(C29+I29)*K29</f>
        <v>2.6618999999999997</v>
      </c>
      <c r="N29" s="294">
        <f t="shared" si="2"/>
        <v>7.5268413163506794E-3</v>
      </c>
      <c r="O29" s="484">
        <f>(C29+I29)*L29</f>
        <v>0.14010000000000011</v>
      </c>
      <c r="P29" s="294">
        <f t="shared" si="3"/>
        <v>3.3186549190330691E-4</v>
      </c>
      <c r="Q29" s="484">
        <f>(E29+G29)</f>
        <v>0</v>
      </c>
      <c r="R29" s="293">
        <f t="shared" si="4"/>
        <v>0</v>
      </c>
    </row>
    <row r="30" spans="1:18" s="88" customFormat="1" ht="21.3" thickBot="1" x14ac:dyDescent="0.4">
      <c r="A30" s="272" t="s">
        <v>194</v>
      </c>
      <c r="B30" s="489">
        <f>'Evaporation of low DM input'!K30</f>
        <v>2.5041240529934008E-3</v>
      </c>
      <c r="C30" s="303">
        <f>C31+C32</f>
        <v>1.9171578947368419</v>
      </c>
      <c r="D30" s="300">
        <f t="shared" si="0"/>
        <v>2.5041240529934008E-3</v>
      </c>
      <c r="E30" s="481">
        <v>0</v>
      </c>
      <c r="F30" s="154"/>
      <c r="G30" s="481">
        <v>0</v>
      </c>
      <c r="H30" s="154"/>
      <c r="I30" s="422">
        <v>0</v>
      </c>
      <c r="J30" s="154"/>
      <c r="K30" s="419">
        <f>(M30/(C30+I30))</f>
        <v>0.99</v>
      </c>
      <c r="L30" s="282">
        <f t="shared" si="1"/>
        <v>1.0000000000000009E-2</v>
      </c>
      <c r="M30" s="484">
        <f>M31+M32</f>
        <v>1.8979863157894734</v>
      </c>
      <c r="N30" s="293">
        <f t="shared" si="2"/>
        <v>5.3667838083896529E-3</v>
      </c>
      <c r="O30" s="484">
        <f>O31+O32</f>
        <v>1.9171578947368435E-2</v>
      </c>
      <c r="P30" s="293">
        <f t="shared" si="3"/>
        <v>4.5413172576241994E-5</v>
      </c>
      <c r="Q30" s="484">
        <f>Q31+Q32</f>
        <v>0</v>
      </c>
      <c r="R30" s="293">
        <f t="shared" si="4"/>
        <v>0</v>
      </c>
    </row>
    <row r="31" spans="1:18" s="88" customFormat="1" ht="21.3" thickBot="1" x14ac:dyDescent="0.4">
      <c r="A31" s="273" t="s">
        <v>195</v>
      </c>
      <c r="B31" s="489">
        <f>'Evaporation of low DM input'!K31</f>
        <v>0</v>
      </c>
      <c r="C31" s="302">
        <f>D31*C10</f>
        <v>0</v>
      </c>
      <c r="D31" s="300">
        <f t="shared" si="0"/>
        <v>0</v>
      </c>
      <c r="E31" s="481">
        <v>0</v>
      </c>
      <c r="F31" s="155"/>
      <c r="G31" s="481">
        <v>0</v>
      </c>
      <c r="H31" s="155"/>
      <c r="I31" s="422">
        <v>0</v>
      </c>
      <c r="J31" s="155"/>
      <c r="K31" s="473">
        <v>0.99</v>
      </c>
      <c r="L31" s="282">
        <f t="shared" si="1"/>
        <v>1.0000000000000009E-2</v>
      </c>
      <c r="M31" s="484">
        <f>(C31+I31)*K31</f>
        <v>0</v>
      </c>
      <c r="N31" s="293">
        <f t="shared" si="2"/>
        <v>0</v>
      </c>
      <c r="O31" s="484">
        <f>(C31+I31)*L31</f>
        <v>0</v>
      </c>
      <c r="P31" s="293">
        <f t="shared" si="3"/>
        <v>0</v>
      </c>
      <c r="Q31" s="484">
        <f>(E31+G31)</f>
        <v>0</v>
      </c>
      <c r="R31" s="293">
        <f t="shared" si="4"/>
        <v>0</v>
      </c>
    </row>
    <row r="32" spans="1:18" s="88" customFormat="1" ht="21.3" thickBot="1" x14ac:dyDescent="0.4">
      <c r="A32" s="272" t="s">
        <v>196</v>
      </c>
      <c r="B32" s="489">
        <f>'Evaporation of low DM input'!K32</f>
        <v>2.5041240529934008E-3</v>
      </c>
      <c r="C32" s="302">
        <f>D32*C10</f>
        <v>1.9171578947368419</v>
      </c>
      <c r="D32" s="300">
        <f t="shared" si="0"/>
        <v>2.5041240529934008E-3</v>
      </c>
      <c r="E32" s="481">
        <v>0</v>
      </c>
      <c r="F32" s="155"/>
      <c r="G32" s="481">
        <v>0</v>
      </c>
      <c r="H32" s="155"/>
      <c r="I32" s="422">
        <v>0</v>
      </c>
      <c r="J32" s="155"/>
      <c r="K32" s="476">
        <v>0.99</v>
      </c>
      <c r="L32" s="282">
        <f t="shared" si="1"/>
        <v>1.0000000000000009E-2</v>
      </c>
      <c r="M32" s="484">
        <f>(C32+I32)*K32</f>
        <v>1.8979863157894734</v>
      </c>
      <c r="N32" s="293">
        <f t="shared" si="2"/>
        <v>5.3667838083896529E-3</v>
      </c>
      <c r="O32" s="484">
        <f>(C32+I32)*L32</f>
        <v>1.9171578947368435E-2</v>
      </c>
      <c r="P32" s="293">
        <f t="shared" si="3"/>
        <v>4.5413172576241994E-5</v>
      </c>
      <c r="Q32" s="484">
        <f>(E32+G32)</f>
        <v>0</v>
      </c>
      <c r="R32" s="293">
        <f t="shared" si="4"/>
        <v>0</v>
      </c>
    </row>
    <row r="33" spans="1:18" s="88" customFormat="1" ht="21.3" thickBot="1" x14ac:dyDescent="0.4">
      <c r="A33" s="273" t="s">
        <v>197</v>
      </c>
      <c r="B33" s="489">
        <f>'Evaporation of low DM input'!K33</f>
        <v>2.8852003672117557E-2</v>
      </c>
      <c r="C33" s="303">
        <f>C34</f>
        <v>22.089099999999998</v>
      </c>
      <c r="D33" s="300">
        <f t="shared" si="0"/>
        <v>2.8852003672117557E-2</v>
      </c>
      <c r="E33" s="481">
        <v>0</v>
      </c>
      <c r="F33" s="154"/>
      <c r="G33" s="481">
        <v>0</v>
      </c>
      <c r="H33" s="154"/>
      <c r="I33" s="422">
        <v>0</v>
      </c>
      <c r="J33" s="154"/>
      <c r="K33" s="419">
        <f>(M33/(C33+I33))</f>
        <v>0.95</v>
      </c>
      <c r="L33" s="282">
        <f t="shared" si="1"/>
        <v>5.0000000000000044E-2</v>
      </c>
      <c r="M33" s="484">
        <f>M34</f>
        <v>20.984644999999997</v>
      </c>
      <c r="N33" s="293">
        <f t="shared" si="2"/>
        <v>5.9336599043897854E-2</v>
      </c>
      <c r="O33" s="484">
        <f>O34</f>
        <v>1.1044550000000009</v>
      </c>
      <c r="P33" s="293">
        <f t="shared" si="3"/>
        <v>2.6162062945044029E-3</v>
      </c>
      <c r="Q33" s="484">
        <f>Q34</f>
        <v>0</v>
      </c>
      <c r="R33" s="293">
        <f t="shared" si="4"/>
        <v>0</v>
      </c>
    </row>
    <row r="34" spans="1:18" s="88" customFormat="1" ht="21.3" thickBot="1" x14ac:dyDescent="0.4">
      <c r="A34" s="272" t="s">
        <v>198</v>
      </c>
      <c r="B34" s="489">
        <f>'Evaporation of low DM input'!K34</f>
        <v>2.8852003672117557E-2</v>
      </c>
      <c r="C34" s="303">
        <f>C35+C36</f>
        <v>22.089099999999998</v>
      </c>
      <c r="D34" s="300">
        <f t="shared" si="0"/>
        <v>2.8852003672117557E-2</v>
      </c>
      <c r="E34" s="481">
        <v>0</v>
      </c>
      <c r="F34" s="155"/>
      <c r="G34" s="481">
        <v>0</v>
      </c>
      <c r="H34" s="155"/>
      <c r="I34" s="422">
        <v>0</v>
      </c>
      <c r="J34" s="155"/>
      <c r="K34" s="419">
        <f>(M34/(C34+I34))</f>
        <v>0.95</v>
      </c>
      <c r="L34" s="282">
        <f>100%-K34</f>
        <v>5.0000000000000044E-2</v>
      </c>
      <c r="M34" s="484">
        <f>M35+M36</f>
        <v>20.984644999999997</v>
      </c>
      <c r="N34" s="293">
        <f t="shared" si="2"/>
        <v>5.9336599043897854E-2</v>
      </c>
      <c r="O34" s="484">
        <f>O35+O36</f>
        <v>1.1044550000000009</v>
      </c>
      <c r="P34" s="293">
        <f t="shared" si="3"/>
        <v>2.6162062945044029E-3</v>
      </c>
      <c r="Q34" s="484">
        <f>Q35+Q36</f>
        <v>0</v>
      </c>
      <c r="R34" s="293">
        <f t="shared" si="4"/>
        <v>0</v>
      </c>
    </row>
    <row r="35" spans="1:18" s="88" customFormat="1" ht="21.3" thickBot="1" x14ac:dyDescent="0.4">
      <c r="A35" s="273" t="s">
        <v>199</v>
      </c>
      <c r="B35" s="489">
        <f>'Evaporation of low DM input'!K35</f>
        <v>0</v>
      </c>
      <c r="C35" s="303">
        <f>D35*C10</f>
        <v>0</v>
      </c>
      <c r="D35" s="300">
        <f t="shared" si="0"/>
        <v>0</v>
      </c>
      <c r="E35" s="481">
        <v>0</v>
      </c>
      <c r="F35" s="155"/>
      <c r="G35" s="481">
        <v>0</v>
      </c>
      <c r="H35" s="155"/>
      <c r="I35" s="422">
        <v>0</v>
      </c>
      <c r="J35" s="155"/>
      <c r="K35" s="473">
        <v>1</v>
      </c>
      <c r="L35" s="282">
        <f t="shared" si="1"/>
        <v>0</v>
      </c>
      <c r="M35" s="484">
        <f>(C35+I35)*K35</f>
        <v>0</v>
      </c>
      <c r="N35" s="293">
        <f t="shared" si="2"/>
        <v>0</v>
      </c>
      <c r="O35" s="484">
        <f>(C35+I35)*L35</f>
        <v>0</v>
      </c>
      <c r="P35" s="293">
        <f t="shared" si="3"/>
        <v>0</v>
      </c>
      <c r="Q35" s="484">
        <f>(E35+G35)</f>
        <v>0</v>
      </c>
      <c r="R35" s="293">
        <f t="shared" si="4"/>
        <v>0</v>
      </c>
    </row>
    <row r="36" spans="1:18" s="88" customFormat="1" ht="21.3" thickBot="1" x14ac:dyDescent="0.4">
      <c r="A36" s="272" t="s">
        <v>200</v>
      </c>
      <c r="B36" s="489">
        <f>'Evaporation of low DM input'!K36</f>
        <v>2.8852003672117557E-2</v>
      </c>
      <c r="C36" s="302">
        <f>D36*C10</f>
        <v>22.089099999999998</v>
      </c>
      <c r="D36" s="300">
        <f t="shared" si="0"/>
        <v>2.8852003672117557E-2</v>
      </c>
      <c r="E36" s="482">
        <v>0</v>
      </c>
      <c r="F36" s="155"/>
      <c r="G36" s="482">
        <v>0</v>
      </c>
      <c r="H36" s="155"/>
      <c r="I36" s="423">
        <v>0</v>
      </c>
      <c r="J36" s="155"/>
      <c r="K36" s="476">
        <v>0.95</v>
      </c>
      <c r="L36" s="282">
        <f>100%-K36</f>
        <v>5.0000000000000044E-2</v>
      </c>
      <c r="M36" s="484">
        <f>(C36+I36)*K36</f>
        <v>20.984644999999997</v>
      </c>
      <c r="N36" s="293">
        <f t="shared" si="2"/>
        <v>5.9336599043897854E-2</v>
      </c>
      <c r="O36" s="484">
        <f>(C36+I36)*L36</f>
        <v>1.1044550000000009</v>
      </c>
      <c r="P36" s="293">
        <f t="shared" si="3"/>
        <v>2.6162062945044029E-3</v>
      </c>
      <c r="Q36" s="484">
        <f>(E36+G36)</f>
        <v>0</v>
      </c>
      <c r="R36" s="293">
        <f t="shared" si="4"/>
        <v>0</v>
      </c>
    </row>
    <row r="37" spans="1:18" s="88" customFormat="1" x14ac:dyDescent="0.25">
      <c r="A37" s="92"/>
      <c r="B37" s="92"/>
      <c r="C37" s="92"/>
      <c r="D37" s="92"/>
    </row>
    <row r="38" spans="1:18" s="365" customFormat="1" ht="15.05" thickBot="1" x14ac:dyDescent="0.3">
      <c r="A38" s="453"/>
      <c r="B38" s="453"/>
      <c r="C38" s="453"/>
      <c r="D38" s="453"/>
    </row>
    <row r="39" spans="1:18" s="410" customFormat="1" ht="17.399999999999999" customHeight="1" x14ac:dyDescent="0.25">
      <c r="A39" s="93"/>
      <c r="B39" s="522" t="s">
        <v>481</v>
      </c>
      <c r="D39" s="528" t="str">
        <f>IF(D47&gt;15, "RO will not be able to process this stream, because of too high dry matter content!","")</f>
        <v/>
      </c>
      <c r="E39" s="523" t="str">
        <f>CONCATENATE(E40,"% NaOH solution for CIP")</f>
        <v>30% NaOH solution for CIP</v>
      </c>
      <c r="F39" s="524"/>
      <c r="G39" s="523" t="str">
        <f>CONCATENATE(G40,"% H2SO4 solution for CIP")</f>
        <v>37% H2SO4 solution for CIP</v>
      </c>
      <c r="H39" s="524"/>
      <c r="I39" s="523" t="str">
        <f>CONCATENATE(I40,"% H2SO4 solution for acidification membranes")</f>
        <v>96% H2SO4 solution for acidification membranes</v>
      </c>
      <c r="J39" s="524"/>
    </row>
    <row r="40" spans="1:18" s="410" customFormat="1" ht="18" customHeight="1" x14ac:dyDescent="0.25">
      <c r="A40" s="93"/>
      <c r="B40" s="522"/>
      <c r="D40" s="528"/>
      <c r="E40" s="458">
        <v>30</v>
      </c>
      <c r="F40" s="464" t="s">
        <v>14</v>
      </c>
      <c r="G40" s="458">
        <v>37</v>
      </c>
      <c r="H40" s="464" t="s">
        <v>14</v>
      </c>
      <c r="I40" s="458">
        <v>96</v>
      </c>
      <c r="J40" s="464" t="s">
        <v>14</v>
      </c>
      <c r="M40" s="88"/>
    </row>
    <row r="41" spans="1:18" s="410" customFormat="1" ht="17.399999999999999" customHeight="1" x14ac:dyDescent="0.25">
      <c r="A41" s="93"/>
      <c r="B41" s="522"/>
      <c r="D41" s="528"/>
      <c r="E41" s="459">
        <f>E40*10</f>
        <v>300</v>
      </c>
      <c r="F41" s="465" t="s">
        <v>465</v>
      </c>
      <c r="G41" s="459">
        <f>G40*10</f>
        <v>370</v>
      </c>
      <c r="H41" s="465" t="s">
        <v>457</v>
      </c>
      <c r="I41" s="459">
        <f>I40*10</f>
        <v>960</v>
      </c>
      <c r="J41" s="465" t="s">
        <v>457</v>
      </c>
      <c r="L41" s="88"/>
    </row>
    <row r="42" spans="1:18" s="410" customFormat="1" ht="18.5" customHeight="1" x14ac:dyDescent="0.3">
      <c r="A42" s="93"/>
      <c r="B42" s="522"/>
      <c r="C42" s="144"/>
      <c r="D42" s="528"/>
      <c r="E42" s="458">
        <v>1.33</v>
      </c>
      <c r="F42" s="465" t="s">
        <v>201</v>
      </c>
      <c r="G42" s="458">
        <v>1.2768999999999999</v>
      </c>
      <c r="H42" s="465" t="s">
        <v>201</v>
      </c>
      <c r="I42" s="458">
        <v>1.84</v>
      </c>
      <c r="J42" s="465" t="s">
        <v>201</v>
      </c>
      <c r="L42" s="88"/>
      <c r="M42" s="101"/>
    </row>
    <row r="43" spans="1:18" s="88" customFormat="1" ht="15.05" customHeight="1" x14ac:dyDescent="0.25">
      <c r="B43" s="522"/>
      <c r="D43" s="528"/>
      <c r="E43" s="459">
        <f>E$9*E$7</f>
        <v>0.73150000000000015</v>
      </c>
      <c r="F43" s="465" t="s">
        <v>441</v>
      </c>
      <c r="G43" s="459">
        <f>G$9*G$7</f>
        <v>2.04304</v>
      </c>
      <c r="H43" s="465" t="s">
        <v>441</v>
      </c>
      <c r="I43" s="459">
        <f>I$9*I$7</f>
        <v>13.34</v>
      </c>
      <c r="J43" s="465" t="s">
        <v>441</v>
      </c>
    </row>
    <row r="44" spans="1:18" s="88" customFormat="1" ht="88.3" thickBot="1" x14ac:dyDescent="0.3">
      <c r="A44" s="488"/>
      <c r="B44" s="490" t="s">
        <v>479</v>
      </c>
      <c r="D44" s="528"/>
      <c r="E44" s="460">
        <v>0.55000000000000004</v>
      </c>
      <c r="F44" s="444" t="str">
        <f>CONCATENATE("L ",E39,"/ton condensate")</f>
        <v>L 30% NaOH solution for CIP/ton condensate</v>
      </c>
      <c r="G44" s="460">
        <v>1.6</v>
      </c>
      <c r="H44" s="444" t="str">
        <f>CONCATENATE("L ",G39,"/ton condensate")</f>
        <v>L 37% H2SO4 solution for CIP/ton condensate</v>
      </c>
      <c r="I44" s="460">
        <v>7.25</v>
      </c>
      <c r="J44" s="444" t="str">
        <f>CONCATENATE("L ",I39,"/ton condensate")</f>
        <v>L 96% H2SO4 solution for acidification membranes/ton condensate</v>
      </c>
    </row>
    <row r="45" spans="1:18" s="88" customFormat="1" ht="21.3" thickBot="1" x14ac:dyDescent="0.4">
      <c r="A45" s="272" t="s">
        <v>361</v>
      </c>
      <c r="C45" s="489">
        <f>'Evaporation of low DM input'!J46</f>
        <v>151751275.70327273</v>
      </c>
      <c r="E45" s="479">
        <f>(E43/1000)*C45</f>
        <v>111006.05817694403</v>
      </c>
      <c r="G45" s="479">
        <f>(G43/1000)*C45</f>
        <v>310033.92631281429</v>
      </c>
      <c r="I45" s="425">
        <f>(I43/1000)*C45</f>
        <v>2024362.0178816582</v>
      </c>
      <c r="J45" s="155"/>
      <c r="K45" s="452">
        <f>(M45/(C45+I45))</f>
        <v>0.4559586794877038</v>
      </c>
      <c r="L45" s="282">
        <f>100%-K45</f>
        <v>0.54404132051229626</v>
      </c>
      <c r="M45" s="483">
        <f>(M46+M47)/1000</f>
        <v>70115336.712717086</v>
      </c>
      <c r="N45" s="345"/>
      <c r="O45" s="483">
        <f>(O46+O47)/1000</f>
        <v>83660301.008437321</v>
      </c>
      <c r="P45" s="345"/>
      <c r="Q45" s="483">
        <f>(Q46+Q47)/1000</f>
        <v>421039.98448975838</v>
      </c>
      <c r="R45" s="345"/>
    </row>
    <row r="46" spans="1:18" s="88" customFormat="1" ht="18" customHeight="1" thickBot="1" x14ac:dyDescent="0.4">
      <c r="A46" s="273" t="s">
        <v>175</v>
      </c>
      <c r="B46" s="489">
        <f>'Evaporation of low DM input'!K47</f>
        <v>999.38824828428949</v>
      </c>
      <c r="C46" s="283">
        <f>(C45*1000)-C47</f>
        <v>151658441600</v>
      </c>
      <c r="D46" s="300">
        <f>B46</f>
        <v>999.38824828428949</v>
      </c>
      <c r="E46" s="480">
        <f>(E45*1000)-E47</f>
        <v>77704240.72386083</v>
      </c>
      <c r="G46" s="480">
        <f>(G45*1000)-G47</f>
        <v>195321373.57707301</v>
      </c>
      <c r="I46" s="426">
        <f>(I45*1000)-I47</f>
        <v>80974480.715266466</v>
      </c>
      <c r="J46" s="155"/>
      <c r="K46" s="472">
        <v>0.45</v>
      </c>
      <c r="L46" s="282">
        <f>100%-K46</f>
        <v>0.55000000000000004</v>
      </c>
      <c r="M46" s="484">
        <f>(C46+I46)*K46</f>
        <v>68282737236.321877</v>
      </c>
      <c r="N46" s="293">
        <f>M46/$M$10</f>
        <v>193077624.1871838</v>
      </c>
      <c r="O46" s="484">
        <f>(C46+I46)*L46</f>
        <v>83456678844.393402</v>
      </c>
      <c r="P46" s="293">
        <f>O46/$O$10</f>
        <v>197690162.57895005</v>
      </c>
      <c r="Q46" s="484">
        <f>(E46+G46)</f>
        <v>273025614.30093384</v>
      </c>
      <c r="R46" s="293">
        <f>Q46/$Q$10</f>
        <v>128531732.07922994</v>
      </c>
    </row>
    <row r="47" spans="1:18" s="88" customFormat="1" ht="18" customHeight="1" thickBot="1" x14ac:dyDescent="0.4">
      <c r="A47" s="272" t="s">
        <v>176</v>
      </c>
      <c r="B47" s="489">
        <f>'Evaporation of low DM input'!K48</f>
        <v>0.61175171571045439</v>
      </c>
      <c r="C47" s="280">
        <f>C48+C51</f>
        <v>92834103.272727296</v>
      </c>
      <c r="D47" s="300">
        <f t="shared" ref="D47:D71" si="6">B47</f>
        <v>0.61175171571045439</v>
      </c>
      <c r="E47" s="480">
        <f>E48+E51</f>
        <v>33301817.45308321</v>
      </c>
      <c r="G47" s="480">
        <f>G48+G51</f>
        <v>114712552.73574129</v>
      </c>
      <c r="I47" s="426">
        <f>I48+I51</f>
        <v>1943387537.1663916</v>
      </c>
      <c r="J47" s="155"/>
      <c r="K47" s="419">
        <f>(M47/(C47+I47))</f>
        <v>0.90000000000000013</v>
      </c>
      <c r="L47" s="282">
        <f t="shared" ref="L47:L68" si="7">100%-K47</f>
        <v>9.9999999999999867E-2</v>
      </c>
      <c r="M47" s="484">
        <f>M48+M51</f>
        <v>1832599476.3952072</v>
      </c>
      <c r="N47" s="293">
        <f t="shared" ref="N47:N71" si="8">M47/$M$10</f>
        <v>5181894.6824651826</v>
      </c>
      <c r="O47" s="484">
        <f>(C47+I47)*L47</f>
        <v>203622164.04391161</v>
      </c>
      <c r="P47" s="293">
        <f t="shared" ref="P47:P71" si="9">O47/$O$10</f>
        <v>482335.2579075555</v>
      </c>
      <c r="Q47" s="484">
        <f>Q48+Q51</f>
        <v>148014370.1888245</v>
      </c>
      <c r="R47" s="293">
        <f t="shared" ref="R47:R71" si="10">Q47/$Q$10</f>
        <v>69680434.276092306</v>
      </c>
    </row>
    <row r="48" spans="1:18" s="88" customFormat="1" ht="18" customHeight="1" thickBot="1" x14ac:dyDescent="0.4">
      <c r="A48" s="273" t="s">
        <v>177</v>
      </c>
      <c r="B48" s="489">
        <f>'Evaporation of low DM input'!K49</f>
        <v>0.51147518861986385</v>
      </c>
      <c r="C48" s="280">
        <f>C49+C50</f>
        <v>77617012.363636389</v>
      </c>
      <c r="D48" s="300">
        <f t="shared" si="6"/>
        <v>0.51147518861986385</v>
      </c>
      <c r="E48" s="480">
        <f>(E45*1000*E40%)</f>
        <v>33301817.45308321</v>
      </c>
      <c r="G48" s="480">
        <f>(G45*1000*G40%)</f>
        <v>114712552.73574129</v>
      </c>
      <c r="I48" s="426">
        <f>(I45*1000*I40%)</f>
        <v>1943387537.1663916</v>
      </c>
      <c r="J48" s="155"/>
      <c r="K48" s="419">
        <f>(M48/(C48+I48))</f>
        <v>0.9</v>
      </c>
      <c r="L48" s="282">
        <f t="shared" si="7"/>
        <v>9.9999999999999978E-2</v>
      </c>
      <c r="M48" s="484">
        <f>M49+M50</f>
        <v>1818904094.5770254</v>
      </c>
      <c r="N48" s="293">
        <f t="shared" si="8"/>
        <v>5143169.3487891285</v>
      </c>
      <c r="O48" s="484">
        <f>O49+O50</f>
        <v>202100454.95300275</v>
      </c>
      <c r="P48" s="293">
        <f t="shared" si="9"/>
        <v>478730.67021313577</v>
      </c>
      <c r="Q48" s="484">
        <f>Q49+Q50</f>
        <v>148014370.1888245</v>
      </c>
      <c r="R48" s="293">
        <f t="shared" si="10"/>
        <v>69680434.276092306</v>
      </c>
    </row>
    <row r="49" spans="1:23" s="88" customFormat="1" ht="18" customHeight="1" thickBot="1" x14ac:dyDescent="0.4">
      <c r="A49" s="272" t="s">
        <v>178</v>
      </c>
      <c r="B49" s="489">
        <f>'Evaporation of low DM input'!K50</f>
        <v>0</v>
      </c>
      <c r="C49" s="283">
        <f>D49*C45</f>
        <v>0</v>
      </c>
      <c r="D49" s="300">
        <f t="shared" si="6"/>
        <v>0</v>
      </c>
      <c r="E49" s="480">
        <v>0</v>
      </c>
      <c r="G49" s="480">
        <v>0</v>
      </c>
      <c r="I49" s="426">
        <v>0</v>
      </c>
      <c r="J49" s="155"/>
      <c r="K49" s="472">
        <v>0.95</v>
      </c>
      <c r="L49" s="282">
        <f t="shared" si="7"/>
        <v>5.0000000000000044E-2</v>
      </c>
      <c r="M49" s="484">
        <f>(C49+I49)*K49</f>
        <v>0</v>
      </c>
      <c r="N49" s="293">
        <f t="shared" si="8"/>
        <v>0</v>
      </c>
      <c r="O49" s="484">
        <f>(C49+I49)*L49</f>
        <v>0</v>
      </c>
      <c r="P49" s="293">
        <f t="shared" si="9"/>
        <v>0</v>
      </c>
      <c r="Q49" s="484">
        <f t="shared" ref="Q49:Q50" si="11">(E49+G49)</f>
        <v>0</v>
      </c>
      <c r="R49" s="293">
        <f t="shared" si="10"/>
        <v>0</v>
      </c>
    </row>
    <row r="50" spans="1:23" s="88" customFormat="1" ht="18" customHeight="1" thickBot="1" x14ac:dyDescent="0.4">
      <c r="A50" s="273" t="s">
        <v>179</v>
      </c>
      <c r="B50" s="489">
        <f>'Evaporation of low DM input'!K51</f>
        <v>0.51147518861986385</v>
      </c>
      <c r="C50" s="302">
        <f>D50*C45</f>
        <v>77617012.363636389</v>
      </c>
      <c r="D50" s="300">
        <f t="shared" si="6"/>
        <v>0.51147518861986385</v>
      </c>
      <c r="E50" s="480">
        <f>E48</f>
        <v>33301817.45308321</v>
      </c>
      <c r="G50" s="480">
        <f>G48</f>
        <v>114712552.73574129</v>
      </c>
      <c r="I50" s="426">
        <f>I48</f>
        <v>1943387537.1663916</v>
      </c>
      <c r="J50" s="155"/>
      <c r="K50" s="473">
        <v>0.9</v>
      </c>
      <c r="L50" s="282">
        <f t="shared" si="7"/>
        <v>9.9999999999999978E-2</v>
      </c>
      <c r="M50" s="484">
        <f>(C50+I50)*K50</f>
        <v>1818904094.5770254</v>
      </c>
      <c r="N50" s="293">
        <f t="shared" si="8"/>
        <v>5143169.3487891285</v>
      </c>
      <c r="O50" s="484">
        <f>(C50+I50)*L50</f>
        <v>202100454.95300275</v>
      </c>
      <c r="P50" s="293">
        <f t="shared" si="9"/>
        <v>478730.67021313577</v>
      </c>
      <c r="Q50" s="484">
        <f t="shared" si="11"/>
        <v>148014370.1888245</v>
      </c>
      <c r="R50" s="293">
        <f t="shared" si="10"/>
        <v>69680434.276092306</v>
      </c>
      <c r="W50" s="410"/>
    </row>
    <row r="51" spans="1:23" s="88" customFormat="1" ht="21.3" thickBot="1" x14ac:dyDescent="0.4">
      <c r="A51" s="272" t="s">
        <v>180</v>
      </c>
      <c r="B51" s="489">
        <f>'Evaporation of low DM input'!K52</f>
        <v>0.10027652709059058</v>
      </c>
      <c r="C51" s="303">
        <f>C52+C53</f>
        <v>15217090.909090908</v>
      </c>
      <c r="D51" s="300">
        <f t="shared" si="6"/>
        <v>0.10027652709059058</v>
      </c>
      <c r="E51" s="481">
        <f>E52+E53</f>
        <v>0</v>
      </c>
      <c r="G51" s="481">
        <f>G52+G53</f>
        <v>0</v>
      </c>
      <c r="I51" s="422">
        <f>I52+I53</f>
        <v>0</v>
      </c>
      <c r="J51" s="155"/>
      <c r="K51" s="419">
        <f>(M51/(C51+I51))</f>
        <v>0.9</v>
      </c>
      <c r="L51" s="282">
        <f t="shared" si="7"/>
        <v>9.9999999999999978E-2</v>
      </c>
      <c r="M51" s="484">
        <f>M52+M53</f>
        <v>13695381.818181818</v>
      </c>
      <c r="N51" s="293">
        <f t="shared" si="8"/>
        <v>38725.333676054252</v>
      </c>
      <c r="O51" s="484">
        <f>O52+O53</f>
        <v>1521709.0909090906</v>
      </c>
      <c r="P51" s="293">
        <f t="shared" si="9"/>
        <v>3604.5876944202637</v>
      </c>
      <c r="Q51" s="484">
        <f>Q52+Q53</f>
        <v>0</v>
      </c>
      <c r="R51" s="293">
        <f t="shared" si="10"/>
        <v>0</v>
      </c>
      <c r="W51" s="410"/>
    </row>
    <row r="52" spans="1:23" s="88" customFormat="1" ht="21.3" thickBot="1" x14ac:dyDescent="0.4">
      <c r="A52" s="273" t="s">
        <v>181</v>
      </c>
      <c r="B52" s="489">
        <f>'Evaporation of low DM input'!K53</f>
        <v>0</v>
      </c>
      <c r="C52" s="302">
        <f>D52*C45</f>
        <v>0</v>
      </c>
      <c r="D52" s="300">
        <f t="shared" si="6"/>
        <v>0</v>
      </c>
      <c r="E52" s="481">
        <v>0</v>
      </c>
      <c r="G52" s="481">
        <v>0</v>
      </c>
      <c r="I52" s="422">
        <v>0</v>
      </c>
      <c r="J52" s="155"/>
      <c r="K52" s="472">
        <v>0.95</v>
      </c>
      <c r="L52" s="282">
        <f t="shared" si="7"/>
        <v>5.0000000000000044E-2</v>
      </c>
      <c r="M52" s="484">
        <f>(C52+I52)*K52</f>
        <v>0</v>
      </c>
      <c r="N52" s="293">
        <f t="shared" si="8"/>
        <v>0</v>
      </c>
      <c r="O52" s="484">
        <f>(C52+I52)*L52</f>
        <v>0</v>
      </c>
      <c r="P52" s="293">
        <f t="shared" si="9"/>
        <v>0</v>
      </c>
      <c r="Q52" s="484">
        <f>(E52+G52)</f>
        <v>0</v>
      </c>
      <c r="R52" s="293">
        <f t="shared" si="10"/>
        <v>0</v>
      </c>
    </row>
    <row r="53" spans="1:23" s="88" customFormat="1" ht="21.3" thickBot="1" x14ac:dyDescent="0.4">
      <c r="A53" s="272" t="s">
        <v>182</v>
      </c>
      <c r="B53" s="489">
        <f>'Evaporation of low DM input'!K54</f>
        <v>0.10027652709059058</v>
      </c>
      <c r="C53" s="302">
        <f>D53*C45</f>
        <v>15217090.909090908</v>
      </c>
      <c r="D53" s="300">
        <f t="shared" si="6"/>
        <v>0.10027652709059058</v>
      </c>
      <c r="E53" s="481">
        <v>0</v>
      </c>
      <c r="G53" s="481">
        <v>0</v>
      </c>
      <c r="I53" s="422">
        <v>0</v>
      </c>
      <c r="J53" s="155"/>
      <c r="K53" s="473">
        <v>0.9</v>
      </c>
      <c r="L53" s="282">
        <f t="shared" si="7"/>
        <v>9.9999999999999978E-2</v>
      </c>
      <c r="M53" s="484">
        <f>(C53+I53)*K53</f>
        <v>13695381.818181818</v>
      </c>
      <c r="N53" s="293">
        <f t="shared" si="8"/>
        <v>38725.333676054252</v>
      </c>
      <c r="O53" s="484">
        <f>(C53+I53)*L53</f>
        <v>1521709.0909090906</v>
      </c>
      <c r="P53" s="293">
        <f t="shared" si="9"/>
        <v>3604.5876944202637</v>
      </c>
      <c r="Q53" s="484">
        <f>(E53+G53)</f>
        <v>0</v>
      </c>
      <c r="R53" s="293">
        <f t="shared" si="10"/>
        <v>0</v>
      </c>
    </row>
    <row r="54" spans="1:23" s="88" customFormat="1" ht="21.3" thickBot="1" x14ac:dyDescent="0.4">
      <c r="A54" s="273" t="s">
        <v>183</v>
      </c>
      <c r="B54" s="489">
        <f>'Evaporation of low DM input'!K55</f>
        <v>0.22144440563610274</v>
      </c>
      <c r="C54" s="303">
        <f>C55+C58</f>
        <v>33604471.052631587</v>
      </c>
      <c r="D54" s="300">
        <f t="shared" si="6"/>
        <v>0.22144440563610274</v>
      </c>
      <c r="E54" s="481">
        <v>0</v>
      </c>
      <c r="G54" s="481">
        <v>0</v>
      </c>
      <c r="I54" s="422">
        <v>0</v>
      </c>
      <c r="J54" s="154"/>
      <c r="K54" s="419">
        <f>(M54/(C54+I54))</f>
        <v>0.95674476352183391</v>
      </c>
      <c r="L54" s="282">
        <f t="shared" si="7"/>
        <v>4.3255236478166093E-2</v>
      </c>
      <c r="M54" s="484">
        <f>M55+M58</f>
        <v>32150901.710526321</v>
      </c>
      <c r="N54" s="293">
        <f t="shared" si="8"/>
        <v>90910.528326653613</v>
      </c>
      <c r="O54" s="484">
        <f>O55+O58</f>
        <v>1453569.3421052645</v>
      </c>
      <c r="P54" s="293">
        <f t="shared" si="9"/>
        <v>3443.1799053057061</v>
      </c>
      <c r="Q54" s="484">
        <f>Q55+Q58</f>
        <v>0</v>
      </c>
      <c r="R54" s="293">
        <f t="shared" si="10"/>
        <v>0</v>
      </c>
    </row>
    <row r="55" spans="1:23" s="88" customFormat="1" ht="21.3" thickBot="1" x14ac:dyDescent="0.4">
      <c r="A55" s="272" t="s">
        <v>184</v>
      </c>
      <c r="B55" s="489">
        <f>'Evaporation of low DM input'!K56</f>
        <v>0.21107756310607026</v>
      </c>
      <c r="C55" s="303">
        <f>C56+C57</f>
        <v>32031289.473684218</v>
      </c>
      <c r="D55" s="300">
        <f t="shared" si="6"/>
        <v>0.21107756310607026</v>
      </c>
      <c r="E55" s="481">
        <v>0</v>
      </c>
      <c r="G55" s="481">
        <v>0</v>
      </c>
      <c r="I55" s="422">
        <v>0</v>
      </c>
      <c r="J55" s="155"/>
      <c r="K55" s="419">
        <f>(M55/(C55+I55))</f>
        <v>0.95597014925373136</v>
      </c>
      <c r="L55" s="282">
        <f t="shared" si="7"/>
        <v>4.4029850746268639E-2</v>
      </c>
      <c r="M55" s="484">
        <f>M56+M57</f>
        <v>30620956.578947376</v>
      </c>
      <c r="N55" s="293">
        <f t="shared" si="8"/>
        <v>86584.425081558773</v>
      </c>
      <c r="O55" s="484">
        <f>O56+O57</f>
        <v>1410332.8947368434</v>
      </c>
      <c r="P55" s="293">
        <f t="shared" si="9"/>
        <v>3340.7624543844177</v>
      </c>
      <c r="Q55" s="484">
        <f>Q56+Q57</f>
        <v>0</v>
      </c>
      <c r="R55" s="293">
        <f t="shared" si="10"/>
        <v>0</v>
      </c>
    </row>
    <row r="56" spans="1:23" s="88" customFormat="1" ht="21.3" thickBot="1" x14ac:dyDescent="0.4">
      <c r="A56" s="273" t="s">
        <v>185</v>
      </c>
      <c r="B56" s="489">
        <f>'Evaporation of low DM input'!K57</f>
        <v>3.1504113896428439E-2</v>
      </c>
      <c r="C56" s="303">
        <f>D56*C45</f>
        <v>4780789.4736842178</v>
      </c>
      <c r="D56" s="300">
        <f t="shared" si="6"/>
        <v>3.1504113896428439E-2</v>
      </c>
      <c r="E56" s="481">
        <v>0</v>
      </c>
      <c r="F56" s="154"/>
      <c r="G56" s="481">
        <v>0</v>
      </c>
      <c r="I56" s="422">
        <v>0</v>
      </c>
      <c r="J56" s="154"/>
      <c r="K56" s="473">
        <v>0.99</v>
      </c>
      <c r="L56" s="282">
        <f t="shared" si="7"/>
        <v>1.0000000000000009E-2</v>
      </c>
      <c r="M56" s="484">
        <f>(C56+I56)*K56</f>
        <v>4732981.5789473755</v>
      </c>
      <c r="N56" s="293">
        <f t="shared" si="8"/>
        <v>13383.072729233925</v>
      </c>
      <c r="O56" s="484">
        <f>(C56+I56)*L56</f>
        <v>47807.894736842223</v>
      </c>
      <c r="P56" s="293">
        <f t="shared" si="9"/>
        <v>113.24618489438721</v>
      </c>
      <c r="Q56" s="484">
        <f>(E56+G56)</f>
        <v>0</v>
      </c>
      <c r="R56" s="293">
        <f t="shared" si="10"/>
        <v>0</v>
      </c>
    </row>
    <row r="57" spans="1:23" s="88" customFormat="1" ht="21.3" thickBot="1" x14ac:dyDescent="0.4">
      <c r="A57" s="272" t="s">
        <v>186</v>
      </c>
      <c r="B57" s="489">
        <f>'Evaporation of low DM input'!K58</f>
        <v>0.17957344920964183</v>
      </c>
      <c r="C57" s="302">
        <f>D57*C45</f>
        <v>27250500</v>
      </c>
      <c r="D57" s="300">
        <f t="shared" si="6"/>
        <v>0.17957344920964183</v>
      </c>
      <c r="E57" s="481">
        <v>0</v>
      </c>
      <c r="F57" s="154"/>
      <c r="G57" s="481">
        <v>0</v>
      </c>
      <c r="I57" s="422">
        <v>0</v>
      </c>
      <c r="J57" s="154"/>
      <c r="K57" s="474">
        <v>0.95</v>
      </c>
      <c r="L57" s="282">
        <f t="shared" si="7"/>
        <v>5.0000000000000044E-2</v>
      </c>
      <c r="M57" s="484">
        <f>(C57+I57)*K57</f>
        <v>25887975</v>
      </c>
      <c r="N57" s="293">
        <f t="shared" si="8"/>
        <v>73201.352352324844</v>
      </c>
      <c r="O57" s="484">
        <f>(C57+I57)*L57</f>
        <v>1362525.0000000012</v>
      </c>
      <c r="P57" s="293">
        <f t="shared" si="9"/>
        <v>3227.5162694900305</v>
      </c>
      <c r="Q57" s="484">
        <f>(E57+G57)</f>
        <v>0</v>
      </c>
      <c r="R57" s="293">
        <f t="shared" si="10"/>
        <v>0</v>
      </c>
    </row>
    <row r="58" spans="1:23" s="88" customFormat="1" ht="21.3" thickBot="1" x14ac:dyDescent="0.4">
      <c r="A58" s="273" t="s">
        <v>187</v>
      </c>
      <c r="B58" s="489">
        <f>'Evaporation of low DM input'!K59</f>
        <v>1.0366842530032443E-2</v>
      </c>
      <c r="C58" s="303">
        <f>C59+C60</f>
        <v>1573181.5789473667</v>
      </c>
      <c r="D58" s="300">
        <f t="shared" si="6"/>
        <v>1.0366842530032443E-2</v>
      </c>
      <c r="E58" s="481">
        <v>0</v>
      </c>
      <c r="F58" s="154"/>
      <c r="G58" s="481">
        <v>0</v>
      </c>
      <c r="I58" s="422">
        <v>0</v>
      </c>
      <c r="J58" s="154"/>
      <c r="K58" s="419">
        <f>(M58/(C58+I58))</f>
        <v>0.97251655629139067</v>
      </c>
      <c r="L58" s="282">
        <f t="shared" si="7"/>
        <v>2.7483443708609334E-2</v>
      </c>
      <c r="M58" s="484">
        <f>M59+M60</f>
        <v>1529945.1315789456</v>
      </c>
      <c r="N58" s="293">
        <f t="shared" si="8"/>
        <v>4326.1032450948514</v>
      </c>
      <c r="O58" s="484">
        <f>O59+O60</f>
        <v>43236.447368421046</v>
      </c>
      <c r="P58" s="293">
        <f t="shared" si="9"/>
        <v>102.41745092128821</v>
      </c>
      <c r="Q58" s="484">
        <f>Q59+Q60</f>
        <v>0</v>
      </c>
      <c r="R58" s="293">
        <f t="shared" si="10"/>
        <v>0</v>
      </c>
    </row>
    <row r="59" spans="1:23" s="88" customFormat="1" ht="21.3" thickBot="1" x14ac:dyDescent="0.4">
      <c r="A59" s="272" t="s">
        <v>188</v>
      </c>
      <c r="B59" s="489">
        <f>'Evaporation of low DM input'!K60</f>
        <v>5.8356398347864744E-3</v>
      </c>
      <c r="C59" s="302">
        <f>D59*C45</f>
        <v>885565.78947368322</v>
      </c>
      <c r="D59" s="300">
        <f t="shared" si="6"/>
        <v>5.8356398347864744E-3</v>
      </c>
      <c r="E59" s="481">
        <v>0</v>
      </c>
      <c r="F59" s="155"/>
      <c r="G59" s="481">
        <v>0</v>
      </c>
      <c r="H59" s="155"/>
      <c r="I59" s="422">
        <v>0</v>
      </c>
      <c r="J59" s="155"/>
      <c r="K59" s="472">
        <v>0.99</v>
      </c>
      <c r="L59" s="282">
        <f t="shared" si="7"/>
        <v>1.0000000000000009E-2</v>
      </c>
      <c r="M59" s="484">
        <f>(C59+I59)*K59</f>
        <v>876710.13157894637</v>
      </c>
      <c r="N59" s="293">
        <f t="shared" si="8"/>
        <v>2479.0029831442407</v>
      </c>
      <c r="O59" s="484">
        <f>(C59+I59)*L59</f>
        <v>8855.6578947368398</v>
      </c>
      <c r="P59" s="293">
        <f t="shared" si="9"/>
        <v>20.977068260986741</v>
      </c>
      <c r="Q59" s="484">
        <f>(E59+G59)</f>
        <v>0</v>
      </c>
      <c r="R59" s="293">
        <f t="shared" si="10"/>
        <v>0</v>
      </c>
    </row>
    <row r="60" spans="1:23" s="88" customFormat="1" ht="21.3" thickBot="1" x14ac:dyDescent="0.4">
      <c r="A60" s="273" t="s">
        <v>189</v>
      </c>
      <c r="B60" s="489">
        <f>'Evaporation of low DM input'!K61</f>
        <v>4.5312026952459682E-3</v>
      </c>
      <c r="C60" s="302">
        <f>D60*C45</f>
        <v>687615.78947368346</v>
      </c>
      <c r="D60" s="300">
        <f t="shared" si="6"/>
        <v>4.5312026952459682E-3</v>
      </c>
      <c r="E60" s="481">
        <v>0</v>
      </c>
      <c r="F60" s="155"/>
      <c r="G60" s="481">
        <v>0</v>
      </c>
      <c r="H60" s="155"/>
      <c r="I60" s="422">
        <v>0</v>
      </c>
      <c r="J60" s="155"/>
      <c r="K60" s="472">
        <v>0.95</v>
      </c>
      <c r="L60" s="282">
        <f t="shared" si="7"/>
        <v>5.0000000000000044E-2</v>
      </c>
      <c r="M60" s="484">
        <f>(C60+I60)*K60</f>
        <v>653234.9999999993</v>
      </c>
      <c r="N60" s="293">
        <f t="shared" si="8"/>
        <v>1847.100261950611</v>
      </c>
      <c r="O60" s="484">
        <f>(C60+I60)*L60</f>
        <v>34380.789473684206</v>
      </c>
      <c r="P60" s="293">
        <f t="shared" si="9"/>
        <v>81.440382660301466</v>
      </c>
      <c r="Q60" s="484">
        <f>(E60+G60)</f>
        <v>0</v>
      </c>
      <c r="R60" s="293">
        <f t="shared" si="10"/>
        <v>0</v>
      </c>
    </row>
    <row r="61" spans="1:23" s="88" customFormat="1" ht="21.3" thickBot="1" x14ac:dyDescent="0.4">
      <c r="A61" s="272" t="s">
        <v>190</v>
      </c>
      <c r="B61" s="489">
        <f>'Evaporation of low DM input'!K62</f>
        <v>2.3827632864720262E-3</v>
      </c>
      <c r="C61" s="303">
        <f>C62+C65</f>
        <v>361587.36842105264</v>
      </c>
      <c r="D61" s="300">
        <f t="shared" si="6"/>
        <v>2.3827632864720262E-3</v>
      </c>
      <c r="E61" s="481">
        <v>0</v>
      </c>
      <c r="F61" s="154"/>
      <c r="G61" s="481">
        <v>0</v>
      </c>
      <c r="H61" s="154"/>
      <c r="I61" s="422">
        <v>0</v>
      </c>
      <c r="J61" s="154"/>
      <c r="K61" s="419">
        <f>(M61/(C61+I61))</f>
        <v>0.98705299439896599</v>
      </c>
      <c r="L61" s="282">
        <f t="shared" si="7"/>
        <v>1.2947005601034012E-2</v>
      </c>
      <c r="M61" s="484">
        <f>M62+M65</f>
        <v>356905.89473684214</v>
      </c>
      <c r="N61" s="293">
        <f t="shared" si="8"/>
        <v>1009.194197586074</v>
      </c>
      <c r="O61" s="484">
        <f>O62+O65</f>
        <v>4681.4736842105303</v>
      </c>
      <c r="P61" s="293">
        <f t="shared" si="9"/>
        <v>11.089361649128572</v>
      </c>
      <c r="Q61" s="484">
        <f>Q62+Q65</f>
        <v>0</v>
      </c>
      <c r="R61" s="293">
        <f t="shared" si="10"/>
        <v>0</v>
      </c>
    </row>
    <row r="62" spans="1:23" s="88" customFormat="1" ht="21.3" thickBot="1" x14ac:dyDescent="0.4">
      <c r="A62" s="273" t="s">
        <v>191</v>
      </c>
      <c r="B62" s="489">
        <f>'Evaporation of low DM input'!K63</f>
        <v>1.7555041877928326E-4</v>
      </c>
      <c r="C62" s="303">
        <f>C63+C64</f>
        <v>26640</v>
      </c>
      <c r="D62" s="300">
        <f t="shared" si="6"/>
        <v>1.7555041877928326E-4</v>
      </c>
      <c r="E62" s="481">
        <v>0</v>
      </c>
      <c r="F62" s="155"/>
      <c r="G62" s="481">
        <v>0</v>
      </c>
      <c r="H62" s="155"/>
      <c r="I62" s="422">
        <v>0</v>
      </c>
      <c r="J62" s="155"/>
      <c r="K62" s="419">
        <f>(M62/(C62+I62))</f>
        <v>0.95</v>
      </c>
      <c r="L62" s="282">
        <f t="shared" si="7"/>
        <v>5.0000000000000044E-2</v>
      </c>
      <c r="M62" s="484">
        <f>M63+M64</f>
        <v>25308</v>
      </c>
      <c r="N62" s="293">
        <f t="shared" si="8"/>
        <v>71.561403521621031</v>
      </c>
      <c r="O62" s="484">
        <f>O63+O64</f>
        <v>1332.0000000000011</v>
      </c>
      <c r="P62" s="293">
        <f t="shared" si="9"/>
        <v>3.1552093876888283</v>
      </c>
      <c r="Q62" s="484">
        <f>Q63+Q64</f>
        <v>0</v>
      </c>
      <c r="R62" s="293">
        <f t="shared" si="10"/>
        <v>0</v>
      </c>
    </row>
    <row r="63" spans="1:23" s="88" customFormat="1" ht="21.3" thickBot="1" x14ac:dyDescent="0.4">
      <c r="A63" s="272" t="s">
        <v>192</v>
      </c>
      <c r="B63" s="489">
        <f>'Evaporation of low DM input'!K64</f>
        <v>0</v>
      </c>
      <c r="C63" s="303">
        <f>D63*C45</f>
        <v>0</v>
      </c>
      <c r="D63" s="300">
        <f t="shared" si="6"/>
        <v>0</v>
      </c>
      <c r="E63" s="481">
        <v>0</v>
      </c>
      <c r="F63" s="155"/>
      <c r="G63" s="481">
        <v>0</v>
      </c>
      <c r="H63" s="155"/>
      <c r="I63" s="422">
        <v>0</v>
      </c>
      <c r="J63" s="155"/>
      <c r="K63" s="472">
        <v>0.99</v>
      </c>
      <c r="L63" s="282">
        <f t="shared" si="7"/>
        <v>1.0000000000000009E-2</v>
      </c>
      <c r="M63" s="484">
        <f>(C63+I63)*K63</f>
        <v>0</v>
      </c>
      <c r="N63" s="293">
        <f t="shared" si="8"/>
        <v>0</v>
      </c>
      <c r="O63" s="484">
        <f>(C63+I63)*L63</f>
        <v>0</v>
      </c>
      <c r="P63" s="293">
        <f t="shared" si="9"/>
        <v>0</v>
      </c>
      <c r="Q63" s="484">
        <f>(E63+G63)</f>
        <v>0</v>
      </c>
      <c r="R63" s="293">
        <f t="shared" si="10"/>
        <v>0</v>
      </c>
    </row>
    <row r="64" spans="1:23" s="88" customFormat="1" ht="21.3" thickBot="1" x14ac:dyDescent="0.4">
      <c r="A64" s="273" t="s">
        <v>193</v>
      </c>
      <c r="B64" s="489">
        <f>'Evaporation of low DM input'!K65</f>
        <v>1.7555041877928326E-4</v>
      </c>
      <c r="C64" s="302">
        <f>D64*C45</f>
        <v>26640</v>
      </c>
      <c r="D64" s="300">
        <f t="shared" si="6"/>
        <v>1.7555041877928326E-4</v>
      </c>
      <c r="E64" s="481">
        <v>0</v>
      </c>
      <c r="F64" s="155"/>
      <c r="G64" s="481">
        <v>0</v>
      </c>
      <c r="H64" s="155"/>
      <c r="I64" s="422">
        <v>0</v>
      </c>
      <c r="J64" s="155"/>
      <c r="K64" s="475">
        <v>0.95</v>
      </c>
      <c r="L64" s="282">
        <f t="shared" si="7"/>
        <v>5.0000000000000044E-2</v>
      </c>
      <c r="M64" s="484">
        <f>(C64+I64)*K64</f>
        <v>25308</v>
      </c>
      <c r="N64" s="294">
        <f t="shared" si="8"/>
        <v>71.561403521621031</v>
      </c>
      <c r="O64" s="484">
        <f>(C64+I64)*L64</f>
        <v>1332.0000000000011</v>
      </c>
      <c r="P64" s="294">
        <f t="shared" si="9"/>
        <v>3.1552093876888283</v>
      </c>
      <c r="Q64" s="484">
        <f>(E64+G64)</f>
        <v>0</v>
      </c>
      <c r="R64" s="293">
        <f t="shared" si="10"/>
        <v>0</v>
      </c>
    </row>
    <row r="65" spans="1:18" s="88" customFormat="1" ht="21.3" thickBot="1" x14ac:dyDescent="0.4">
      <c r="A65" s="272" t="s">
        <v>194</v>
      </c>
      <c r="B65" s="489">
        <f>'Evaporation of low DM input'!K66</f>
        <v>2.2072128676927428E-3</v>
      </c>
      <c r="C65" s="303">
        <f>C66+C67</f>
        <v>334947.36842105264</v>
      </c>
      <c r="D65" s="300">
        <f t="shared" si="6"/>
        <v>2.2072128676927428E-3</v>
      </c>
      <c r="E65" s="481">
        <v>0</v>
      </c>
      <c r="F65" s="154"/>
      <c r="G65" s="481">
        <v>0</v>
      </c>
      <c r="H65" s="154"/>
      <c r="I65" s="422">
        <v>0</v>
      </c>
      <c r="J65" s="154"/>
      <c r="K65" s="419">
        <f>(M65/(C65+I65))</f>
        <v>0.9900000000000001</v>
      </c>
      <c r="L65" s="282">
        <f t="shared" si="7"/>
        <v>9.9999999999998979E-3</v>
      </c>
      <c r="M65" s="484">
        <f>M66+M67</f>
        <v>331597.89473684214</v>
      </c>
      <c r="N65" s="293">
        <f t="shared" si="8"/>
        <v>937.63279406445292</v>
      </c>
      <c r="O65" s="484">
        <f>O66+O67</f>
        <v>3349.4736842105294</v>
      </c>
      <c r="P65" s="293">
        <f t="shared" si="9"/>
        <v>7.9341522614397437</v>
      </c>
      <c r="Q65" s="484">
        <f>Q66+Q67</f>
        <v>0</v>
      </c>
      <c r="R65" s="293">
        <f t="shared" si="10"/>
        <v>0</v>
      </c>
    </row>
    <row r="66" spans="1:18" s="88" customFormat="1" ht="21.3" thickBot="1" x14ac:dyDescent="0.4">
      <c r="A66" s="273" t="s">
        <v>195</v>
      </c>
      <c r="B66" s="489">
        <f>'Evaporation of low DM input'!K67</f>
        <v>0</v>
      </c>
      <c r="C66" s="302">
        <f>D66*C45</f>
        <v>0</v>
      </c>
      <c r="D66" s="300">
        <f t="shared" si="6"/>
        <v>0</v>
      </c>
      <c r="E66" s="481">
        <v>0</v>
      </c>
      <c r="F66" s="155"/>
      <c r="G66" s="481">
        <v>0</v>
      </c>
      <c r="H66" s="155"/>
      <c r="I66" s="422">
        <v>0</v>
      </c>
      <c r="J66" s="155"/>
      <c r="K66" s="473">
        <v>0.99</v>
      </c>
      <c r="L66" s="282">
        <f t="shared" si="7"/>
        <v>1.0000000000000009E-2</v>
      </c>
      <c r="M66" s="484">
        <f>(C66+I66)*K66</f>
        <v>0</v>
      </c>
      <c r="N66" s="293">
        <f t="shared" si="8"/>
        <v>0</v>
      </c>
      <c r="O66" s="484">
        <f>(C66+I66)*L66</f>
        <v>0</v>
      </c>
      <c r="P66" s="293">
        <f t="shared" si="9"/>
        <v>0</v>
      </c>
      <c r="Q66" s="484">
        <f>(E66+G66)</f>
        <v>0</v>
      </c>
      <c r="R66" s="293">
        <f t="shared" si="10"/>
        <v>0</v>
      </c>
    </row>
    <row r="67" spans="1:18" s="88" customFormat="1" ht="21.3" thickBot="1" x14ac:dyDescent="0.4">
      <c r="A67" s="272" t="s">
        <v>196</v>
      </c>
      <c r="B67" s="489">
        <f>'Evaporation of low DM input'!K68</f>
        <v>2.2072128676927428E-3</v>
      </c>
      <c r="C67" s="302">
        <f>D67*C45</f>
        <v>334947.36842105264</v>
      </c>
      <c r="D67" s="300">
        <f t="shared" si="6"/>
        <v>2.2072128676927428E-3</v>
      </c>
      <c r="E67" s="481">
        <v>0</v>
      </c>
      <c r="F67" s="155"/>
      <c r="G67" s="481">
        <v>0</v>
      </c>
      <c r="H67" s="155"/>
      <c r="I67" s="422">
        <v>0</v>
      </c>
      <c r="J67" s="155"/>
      <c r="K67" s="476">
        <v>0.99</v>
      </c>
      <c r="L67" s="282">
        <f t="shared" si="7"/>
        <v>1.0000000000000009E-2</v>
      </c>
      <c r="M67" s="484">
        <f>(C67+I67)*K67</f>
        <v>331597.89473684214</v>
      </c>
      <c r="N67" s="293">
        <f t="shared" si="8"/>
        <v>937.63279406445292</v>
      </c>
      <c r="O67" s="484">
        <f>(C67+I67)*L67</f>
        <v>3349.4736842105294</v>
      </c>
      <c r="P67" s="293">
        <f t="shared" si="9"/>
        <v>7.9341522614397437</v>
      </c>
      <c r="Q67" s="484">
        <f>(E67+G67)</f>
        <v>0</v>
      </c>
      <c r="R67" s="293">
        <f t="shared" si="10"/>
        <v>0</v>
      </c>
    </row>
    <row r="68" spans="1:18" s="88" customFormat="1" ht="21.3" thickBot="1" x14ac:dyDescent="0.4">
      <c r="A68" s="273" t="s">
        <v>197</v>
      </c>
      <c r="B68" s="489">
        <f>'Evaporation of low DM input'!K69</f>
        <v>2.8202662416944021E-2</v>
      </c>
      <c r="C68" s="303">
        <f>C69</f>
        <v>4279790</v>
      </c>
      <c r="D68" s="300">
        <f t="shared" si="6"/>
        <v>2.8202662416944021E-2</v>
      </c>
      <c r="E68" s="481">
        <v>0</v>
      </c>
      <c r="F68" s="154"/>
      <c r="G68" s="481">
        <v>0</v>
      </c>
      <c r="H68" s="154"/>
      <c r="I68" s="422">
        <v>0</v>
      </c>
      <c r="J68" s="154"/>
      <c r="K68" s="419">
        <f>(M68/(C68+I68))</f>
        <v>0.95</v>
      </c>
      <c r="L68" s="282">
        <f t="shared" si="7"/>
        <v>5.0000000000000044E-2</v>
      </c>
      <c r="M68" s="484">
        <f>M69</f>
        <v>4065800.5</v>
      </c>
      <c r="N68" s="293">
        <f t="shared" si="8"/>
        <v>11496.538257424867</v>
      </c>
      <c r="O68" s="484">
        <f>O69</f>
        <v>213989.5000000002</v>
      </c>
      <c r="P68" s="293">
        <f t="shared" si="9"/>
        <v>506.89315260273167</v>
      </c>
      <c r="Q68" s="484">
        <f>Q69</f>
        <v>0</v>
      </c>
      <c r="R68" s="293">
        <f t="shared" si="10"/>
        <v>0</v>
      </c>
    </row>
    <row r="69" spans="1:18" s="88" customFormat="1" ht="21.3" thickBot="1" x14ac:dyDescent="0.4">
      <c r="A69" s="272" t="s">
        <v>198</v>
      </c>
      <c r="B69" s="489">
        <f>'Evaporation of low DM input'!K70</f>
        <v>2.8202662416944021E-2</v>
      </c>
      <c r="C69" s="303">
        <f>C70+C71</f>
        <v>4279790</v>
      </c>
      <c r="D69" s="300">
        <f t="shared" si="6"/>
        <v>2.8202662416944021E-2</v>
      </c>
      <c r="E69" s="481">
        <v>0</v>
      </c>
      <c r="F69" s="155"/>
      <c r="G69" s="481">
        <v>0</v>
      </c>
      <c r="H69" s="155"/>
      <c r="I69" s="422">
        <v>0</v>
      </c>
      <c r="J69" s="155"/>
      <c r="K69" s="419">
        <f>(M69/(C69+I69))</f>
        <v>0.95</v>
      </c>
      <c r="L69" s="282">
        <f>100%-K69</f>
        <v>5.0000000000000044E-2</v>
      </c>
      <c r="M69" s="484">
        <f>M70+M71</f>
        <v>4065800.5</v>
      </c>
      <c r="N69" s="293">
        <f t="shared" si="8"/>
        <v>11496.538257424867</v>
      </c>
      <c r="O69" s="484">
        <f>O70+O71</f>
        <v>213989.5000000002</v>
      </c>
      <c r="P69" s="293">
        <f t="shared" si="9"/>
        <v>506.89315260273167</v>
      </c>
      <c r="Q69" s="484">
        <f>Q70+Q71</f>
        <v>0</v>
      </c>
      <c r="R69" s="293">
        <f t="shared" si="10"/>
        <v>0</v>
      </c>
    </row>
    <row r="70" spans="1:18" s="88" customFormat="1" ht="21.3" thickBot="1" x14ac:dyDescent="0.4">
      <c r="A70" s="273" t="s">
        <v>199</v>
      </c>
      <c r="B70" s="489">
        <f>'Evaporation of low DM input'!K71</f>
        <v>0</v>
      </c>
      <c r="C70" s="303">
        <f>D70*C45</f>
        <v>0</v>
      </c>
      <c r="D70" s="300">
        <f t="shared" si="6"/>
        <v>0</v>
      </c>
      <c r="E70" s="481">
        <v>0</v>
      </c>
      <c r="F70" s="155"/>
      <c r="G70" s="481">
        <v>0</v>
      </c>
      <c r="H70" s="155"/>
      <c r="I70" s="422">
        <v>0</v>
      </c>
      <c r="J70" s="155"/>
      <c r="K70" s="473">
        <v>1</v>
      </c>
      <c r="L70" s="282">
        <f t="shared" ref="L70" si="12">100%-K70</f>
        <v>0</v>
      </c>
      <c r="M70" s="484">
        <f>(C70+I70)*K70</f>
        <v>0</v>
      </c>
      <c r="N70" s="293">
        <f t="shared" si="8"/>
        <v>0</v>
      </c>
      <c r="O70" s="484">
        <f>(C70+I70)*L70</f>
        <v>0</v>
      </c>
      <c r="P70" s="293">
        <f t="shared" si="9"/>
        <v>0</v>
      </c>
      <c r="Q70" s="484">
        <f>(E70+G70)</f>
        <v>0</v>
      </c>
      <c r="R70" s="293">
        <f t="shared" si="10"/>
        <v>0</v>
      </c>
    </row>
    <row r="71" spans="1:18" s="88" customFormat="1" ht="21.3" thickBot="1" x14ac:dyDescent="0.4">
      <c r="A71" s="272" t="s">
        <v>200</v>
      </c>
      <c r="B71" s="489">
        <f>'Evaporation of low DM input'!K72</f>
        <v>2.8202662416944021E-2</v>
      </c>
      <c r="C71" s="302">
        <f>D71*C45</f>
        <v>4279790</v>
      </c>
      <c r="D71" s="300">
        <f t="shared" si="6"/>
        <v>2.8202662416944021E-2</v>
      </c>
      <c r="E71" s="482">
        <v>0</v>
      </c>
      <c r="F71" s="155"/>
      <c r="G71" s="482">
        <v>0</v>
      </c>
      <c r="H71" s="155"/>
      <c r="I71" s="423">
        <v>0</v>
      </c>
      <c r="J71" s="155"/>
      <c r="K71" s="476">
        <v>0.95</v>
      </c>
      <c r="L71" s="282">
        <f>100%-K71</f>
        <v>5.0000000000000044E-2</v>
      </c>
      <c r="M71" s="484">
        <f>(C71+I71)*K71</f>
        <v>4065800.5</v>
      </c>
      <c r="N71" s="293">
        <f t="shared" si="8"/>
        <v>11496.538257424867</v>
      </c>
      <c r="O71" s="484">
        <f>(C71+I71)*L71</f>
        <v>213989.5000000002</v>
      </c>
      <c r="P71" s="293">
        <f t="shared" si="9"/>
        <v>506.89315260273167</v>
      </c>
      <c r="Q71" s="484">
        <f>(E71+G71)</f>
        <v>0</v>
      </c>
      <c r="R71" s="293">
        <f t="shared" si="10"/>
        <v>0</v>
      </c>
    </row>
    <row r="72" spans="1:18" s="88" customFormat="1" x14ac:dyDescent="0.25">
      <c r="A72" s="92"/>
      <c r="B72" s="92"/>
      <c r="C72" s="92"/>
      <c r="D72" s="92"/>
    </row>
    <row r="73" spans="1:18" s="365" customFormat="1" ht="15.05" thickBot="1" x14ac:dyDescent="0.3">
      <c r="A73" s="453"/>
      <c r="B73" s="453"/>
      <c r="C73" s="453"/>
      <c r="D73" s="453"/>
    </row>
    <row r="74" spans="1:18" s="410" customFormat="1" ht="17.399999999999999" customHeight="1" x14ac:dyDescent="0.25">
      <c r="A74" s="93"/>
      <c r="B74" s="522" t="s">
        <v>477</v>
      </c>
      <c r="D74" s="528" t="str">
        <f>IF(D82&gt;15, "RO will not be able to process this stream, because of too high dry matter content!","")</f>
        <v/>
      </c>
      <c r="E74" s="523" t="str">
        <f>CONCATENATE(E75,"% NaOH solution for CIP")</f>
        <v>30% NaOH solution for CIP</v>
      </c>
      <c r="F74" s="524"/>
      <c r="G74" s="523" t="str">
        <f>CONCATENATE(G75,"% H2SO4 solution for CIP")</f>
        <v>37% H2SO4 solution for CIP</v>
      </c>
      <c r="H74" s="524"/>
      <c r="I74" s="523" t="str">
        <f>CONCATENATE(I75,"% H2SO4 solution for acidification membranes")</f>
        <v>96% H2SO4 solution for acidification membranes</v>
      </c>
      <c r="J74" s="524"/>
    </row>
    <row r="75" spans="1:18" s="410" customFormat="1" ht="18" customHeight="1" x14ac:dyDescent="0.25">
      <c r="A75" s="93"/>
      <c r="B75" s="522"/>
      <c r="D75" s="528"/>
      <c r="E75" s="458">
        <v>30</v>
      </c>
      <c r="F75" s="464" t="s">
        <v>14</v>
      </c>
      <c r="G75" s="458">
        <v>37</v>
      </c>
      <c r="H75" s="464" t="s">
        <v>14</v>
      </c>
      <c r="I75" s="458">
        <v>96</v>
      </c>
      <c r="J75" s="464" t="s">
        <v>14</v>
      </c>
      <c r="M75" s="88"/>
    </row>
    <row r="76" spans="1:18" s="410" customFormat="1" ht="17.399999999999999" customHeight="1" x14ac:dyDescent="0.25">
      <c r="A76" s="93"/>
      <c r="B76" s="522"/>
      <c r="D76" s="528"/>
      <c r="E76" s="459">
        <f>E75*10</f>
        <v>300</v>
      </c>
      <c r="F76" s="465" t="s">
        <v>465</v>
      </c>
      <c r="G76" s="459">
        <f>G75*10</f>
        <v>370</v>
      </c>
      <c r="H76" s="465" t="s">
        <v>457</v>
      </c>
      <c r="I76" s="459">
        <f>I75*10</f>
        <v>960</v>
      </c>
      <c r="J76" s="465" t="s">
        <v>457</v>
      </c>
      <c r="L76" s="88"/>
    </row>
    <row r="77" spans="1:18" s="410" customFormat="1" ht="18.5" customHeight="1" x14ac:dyDescent="0.3">
      <c r="A77" s="93"/>
      <c r="B77" s="522"/>
      <c r="C77" s="144"/>
      <c r="D77" s="528"/>
      <c r="E77" s="458">
        <v>1.33</v>
      </c>
      <c r="F77" s="465" t="s">
        <v>201</v>
      </c>
      <c r="G77" s="458">
        <v>1.2768999999999999</v>
      </c>
      <c r="H77" s="465" t="s">
        <v>201</v>
      </c>
      <c r="I77" s="458">
        <v>1.84</v>
      </c>
      <c r="J77" s="465" t="s">
        <v>201</v>
      </c>
      <c r="L77" s="88"/>
      <c r="M77" s="101"/>
    </row>
    <row r="78" spans="1:18" s="88" customFormat="1" ht="15.05" customHeight="1" x14ac:dyDescent="0.25">
      <c r="B78" s="522"/>
      <c r="D78" s="528"/>
      <c r="E78" s="459">
        <f>E$9*E$7</f>
        <v>0.73150000000000015</v>
      </c>
      <c r="F78" s="465" t="s">
        <v>441</v>
      </c>
      <c r="G78" s="459">
        <f>G$9*G$7</f>
        <v>2.04304</v>
      </c>
      <c r="H78" s="465" t="s">
        <v>441</v>
      </c>
      <c r="I78" s="459">
        <f>I$9*I$7</f>
        <v>13.34</v>
      </c>
      <c r="J78" s="465" t="s">
        <v>441</v>
      </c>
    </row>
    <row r="79" spans="1:18" s="88" customFormat="1" ht="88.3" thickBot="1" x14ac:dyDescent="0.3">
      <c r="A79" s="488"/>
      <c r="B79" s="490" t="s">
        <v>482</v>
      </c>
      <c r="D79" s="528"/>
      <c r="E79" s="460">
        <v>0.55000000000000004</v>
      </c>
      <c r="F79" s="444" t="str">
        <f>CONCATENATE("L ",E74,"/ton condensate")</f>
        <v>L 30% NaOH solution for CIP/ton condensate</v>
      </c>
      <c r="G79" s="460">
        <v>1.6</v>
      </c>
      <c r="H79" s="444" t="str">
        <f>CONCATENATE("L ",G74,"/ton condensate")</f>
        <v>L 37% H2SO4 solution for CIP/ton condensate</v>
      </c>
      <c r="I79" s="460">
        <v>7.25</v>
      </c>
      <c r="J79" s="444" t="str">
        <f>CONCATENATE("L ",I74,"/ton condensate")</f>
        <v>L 96% H2SO4 solution for acidification membranes/ton condensate</v>
      </c>
    </row>
    <row r="80" spans="1:18" s="88" customFormat="1" ht="21.3" thickBot="1" x14ac:dyDescent="0.4">
      <c r="A80" s="272" t="s">
        <v>361</v>
      </c>
      <c r="C80" s="489">
        <f>'Evaporation of high DM input'!J10</f>
        <v>589.19946545454548</v>
      </c>
      <c r="E80" s="479">
        <f>(E78/1000)*C80</f>
        <v>0.43099940898000011</v>
      </c>
      <c r="G80" s="479">
        <f>(G78/1000)*C80</f>
        <v>1.2037580759022546</v>
      </c>
      <c r="I80" s="425">
        <f>(I78/1000)*C80</f>
        <v>7.859920869163636</v>
      </c>
      <c r="J80" s="155"/>
      <c r="K80" s="452">
        <f>(M80/(C80+I80))</f>
        <v>0.45627449355262806</v>
      </c>
      <c r="L80" s="282">
        <f>100%-K80</f>
        <v>0.54372550644737194</v>
      </c>
      <c r="M80" s="483">
        <f>(M81+M82)/1000</f>
        <v>272.42296911569326</v>
      </c>
      <c r="N80" s="345"/>
      <c r="O80" s="483">
        <f>(O81+O82)/1000</f>
        <v>324.63641720801587</v>
      </c>
      <c r="P80" s="345"/>
      <c r="Q80" s="483">
        <f>(Q81+Q82)/1000</f>
        <v>1.6347574848822546</v>
      </c>
      <c r="R80" s="345"/>
    </row>
    <row r="81" spans="1:23" s="88" customFormat="1" ht="21.3" thickBot="1" x14ac:dyDescent="0.4">
      <c r="A81" s="273" t="s">
        <v>175</v>
      </c>
      <c r="B81" s="489">
        <f>'Evaporation of high DM input'!K11</f>
        <v>998.67707711862204</v>
      </c>
      <c r="C81" s="283">
        <f>(C80*1000)-C82</f>
        <v>588420</v>
      </c>
      <c r="D81" s="300">
        <f>B81</f>
        <v>998.67707711862204</v>
      </c>
      <c r="E81" s="480">
        <f>(E80*1000)-E82</f>
        <v>301.69958628600011</v>
      </c>
      <c r="G81" s="480">
        <f>(G80*1000)-G82</f>
        <v>758.36758781842036</v>
      </c>
      <c r="I81" s="426">
        <f>(I80*1000)-I82</f>
        <v>314.39683476654591</v>
      </c>
      <c r="J81" s="155"/>
      <c r="K81" s="472">
        <v>0.45</v>
      </c>
      <c r="L81" s="282">
        <f>100%-K81</f>
        <v>0.55000000000000004</v>
      </c>
      <c r="M81" s="484">
        <f>(C81+I81)*K81</f>
        <v>264930.47857564496</v>
      </c>
      <c r="N81" s="293">
        <f>M81/$M$10</f>
        <v>749.12268383625349</v>
      </c>
      <c r="O81" s="484">
        <f>(C81+I81)*L81</f>
        <v>323803.91825912159</v>
      </c>
      <c r="P81" s="293">
        <f>O81/$O$10</f>
        <v>767.01889088709129</v>
      </c>
      <c r="Q81" s="484">
        <f>(E81+G81)</f>
        <v>1060.0671741044205</v>
      </c>
      <c r="R81" s="293">
        <f>Q81/$Q$10</f>
        <v>499.04574102632</v>
      </c>
    </row>
    <row r="82" spans="1:23" s="88" customFormat="1" ht="21.3" thickBot="1" x14ac:dyDescent="0.4">
      <c r="A82" s="272" t="s">
        <v>176</v>
      </c>
      <c r="B82" s="489">
        <f>'Evaporation of high DM input'!K12</f>
        <v>1.322922881377915</v>
      </c>
      <c r="C82" s="280">
        <f>C83+C86</f>
        <v>779.46545454545458</v>
      </c>
      <c r="D82" s="300">
        <f t="shared" ref="D82:D106" si="13">B82</f>
        <v>1.322922881377915</v>
      </c>
      <c r="E82" s="480">
        <f>E83+E86</f>
        <v>129.29982269400003</v>
      </c>
      <c r="G82" s="480">
        <f>G83+G86</f>
        <v>445.39048808383421</v>
      </c>
      <c r="I82" s="426">
        <f>I83+I86</f>
        <v>7545.52403439709</v>
      </c>
      <c r="J82" s="155"/>
      <c r="K82" s="419">
        <f>(M82/(C82+I82))</f>
        <v>0.9</v>
      </c>
      <c r="L82" s="282">
        <f t="shared" ref="L82:L103" si="14">100%-K82</f>
        <v>9.9999999999999978E-2</v>
      </c>
      <c r="M82" s="484">
        <f>M83+M86</f>
        <v>7492.4905400482903</v>
      </c>
      <c r="N82" s="293">
        <f t="shared" ref="N82:N106" si="15">M82/$M$10</f>
        <v>21.185915082911489</v>
      </c>
      <c r="O82" s="484">
        <f>(C82+I82)*L82</f>
        <v>832.49894889425434</v>
      </c>
      <c r="P82" s="293">
        <f t="shared" ref="P82:P106" si="16">O82/$O$10</f>
        <v>1.972003377471645</v>
      </c>
      <c r="Q82" s="484">
        <f>Q83+Q86</f>
        <v>574.69031077783427</v>
      </c>
      <c r="R82" s="293">
        <f t="shared" ref="R82:R106" si="17">Q82/$Q$10</f>
        <v>270.54582861229125</v>
      </c>
    </row>
    <row r="83" spans="1:23" s="88" customFormat="1" ht="21.3" thickBot="1" x14ac:dyDescent="0.4">
      <c r="A83" s="273" t="s">
        <v>177</v>
      </c>
      <c r="B83" s="489">
        <f>'Evaporation of high DM input'!K13</f>
        <v>0.96072830891642347</v>
      </c>
      <c r="C83" s="280">
        <f>C84+C85</f>
        <v>566.06060606060612</v>
      </c>
      <c r="D83" s="300">
        <f t="shared" si="13"/>
        <v>0.96072830891642347</v>
      </c>
      <c r="E83" s="480">
        <f>(E80*1000*E75%)</f>
        <v>129.29982269400003</v>
      </c>
      <c r="G83" s="480">
        <f>(G80*1000*G75%)</f>
        <v>445.39048808383421</v>
      </c>
      <c r="I83" s="426">
        <f>(I80*1000*I75%)</f>
        <v>7545.52403439709</v>
      </c>
      <c r="J83" s="155"/>
      <c r="K83" s="419">
        <f>(M83/(C83+I83))</f>
        <v>0.9</v>
      </c>
      <c r="L83" s="282">
        <f t="shared" si="14"/>
        <v>9.9999999999999978E-2</v>
      </c>
      <c r="M83" s="484">
        <f>M84+M85</f>
        <v>7300.4261764119265</v>
      </c>
      <c r="N83" s="293">
        <f t="shared" si="15"/>
        <v>20.642830073100157</v>
      </c>
      <c r="O83" s="484">
        <f>O84+O85</f>
        <v>811.15846404576939</v>
      </c>
      <c r="P83" s="293">
        <f t="shared" si="16"/>
        <v>1.9214525530483935</v>
      </c>
      <c r="Q83" s="484">
        <f>Q84+Q85</f>
        <v>574.69031077783427</v>
      </c>
      <c r="R83" s="293">
        <f t="shared" si="17"/>
        <v>270.54582861229125</v>
      </c>
    </row>
    <row r="84" spans="1:23" s="88" customFormat="1" ht="21.3" thickBot="1" x14ac:dyDescent="0.4">
      <c r="A84" s="272" t="s">
        <v>178</v>
      </c>
      <c r="B84" s="489">
        <f>'Evaporation of high DM input'!K14</f>
        <v>0</v>
      </c>
      <c r="C84" s="283">
        <f>D84*C80</f>
        <v>0</v>
      </c>
      <c r="D84" s="300">
        <f t="shared" si="13"/>
        <v>0</v>
      </c>
      <c r="E84" s="480">
        <v>0</v>
      </c>
      <c r="G84" s="480">
        <v>0</v>
      </c>
      <c r="I84" s="426">
        <v>0</v>
      </c>
      <c r="J84" s="155"/>
      <c r="K84" s="472">
        <v>0.95</v>
      </c>
      <c r="L84" s="282">
        <f t="shared" si="14"/>
        <v>5.0000000000000044E-2</v>
      </c>
      <c r="M84" s="484">
        <f>(C84+I84)*K84</f>
        <v>0</v>
      </c>
      <c r="N84" s="293">
        <f t="shared" si="15"/>
        <v>0</v>
      </c>
      <c r="O84" s="484">
        <f>(C84+I84)*L84</f>
        <v>0</v>
      </c>
      <c r="P84" s="293">
        <f t="shared" si="16"/>
        <v>0</v>
      </c>
      <c r="Q84" s="484">
        <f t="shared" ref="Q84:Q85" si="18">(E84+G84)</f>
        <v>0</v>
      </c>
      <c r="R84" s="293">
        <f t="shared" si="17"/>
        <v>0</v>
      </c>
    </row>
    <row r="85" spans="1:23" s="88" customFormat="1" ht="21.3" thickBot="1" x14ac:dyDescent="0.4">
      <c r="A85" s="273" t="s">
        <v>179</v>
      </c>
      <c r="B85" s="489">
        <f>'Evaporation of high DM input'!K15</f>
        <v>0.96072830891642347</v>
      </c>
      <c r="C85" s="302">
        <f>D85*C80</f>
        <v>566.06060606060612</v>
      </c>
      <c r="D85" s="300">
        <f t="shared" si="13"/>
        <v>0.96072830891642347</v>
      </c>
      <c r="E85" s="480">
        <f>E83</f>
        <v>129.29982269400003</v>
      </c>
      <c r="G85" s="480">
        <f>G83</f>
        <v>445.39048808383421</v>
      </c>
      <c r="I85" s="426">
        <f>I83</f>
        <v>7545.52403439709</v>
      </c>
      <c r="J85" s="155"/>
      <c r="K85" s="473">
        <v>0.9</v>
      </c>
      <c r="L85" s="282">
        <f t="shared" si="14"/>
        <v>9.9999999999999978E-2</v>
      </c>
      <c r="M85" s="484">
        <f>(C85+I85)*K85</f>
        <v>7300.4261764119265</v>
      </c>
      <c r="N85" s="293">
        <f t="shared" si="15"/>
        <v>20.642830073100157</v>
      </c>
      <c r="O85" s="484">
        <f>(C85+I85)*L85</f>
        <v>811.15846404576939</v>
      </c>
      <c r="P85" s="293">
        <f t="shared" si="16"/>
        <v>1.9214525530483935</v>
      </c>
      <c r="Q85" s="484">
        <f t="shared" si="18"/>
        <v>574.69031077783427</v>
      </c>
      <c r="R85" s="293">
        <f t="shared" si="17"/>
        <v>270.54582861229125</v>
      </c>
      <c r="W85" s="410"/>
    </row>
    <row r="86" spans="1:23" s="88" customFormat="1" ht="21.3" thickBot="1" x14ac:dyDescent="0.4">
      <c r="A86" s="272" t="s">
        <v>180</v>
      </c>
      <c r="B86" s="489">
        <f>'Evaporation of high DM input'!K16</f>
        <v>0.36219457246149156</v>
      </c>
      <c r="C86" s="303">
        <f>C87+C88</f>
        <v>213.40484848484846</v>
      </c>
      <c r="D86" s="300">
        <f t="shared" si="13"/>
        <v>0.36219457246149156</v>
      </c>
      <c r="E86" s="481">
        <f>E87+E88</f>
        <v>0</v>
      </c>
      <c r="G86" s="481">
        <f>G87+G88</f>
        <v>0</v>
      </c>
      <c r="I86" s="422">
        <f>I87+I88</f>
        <v>0</v>
      </c>
      <c r="J86" s="155"/>
      <c r="K86" s="419">
        <f>(M86/(C86+I86))</f>
        <v>0.9</v>
      </c>
      <c r="L86" s="282">
        <f t="shared" si="14"/>
        <v>9.9999999999999978E-2</v>
      </c>
      <c r="M86" s="484">
        <f>M87+M88</f>
        <v>192.06436363636362</v>
      </c>
      <c r="N86" s="293">
        <f t="shared" si="15"/>
        <v>0.54308500981133134</v>
      </c>
      <c r="O86" s="484">
        <f>O87+O88</f>
        <v>21.340484848484842</v>
      </c>
      <c r="P86" s="293">
        <f t="shared" si="16"/>
        <v>5.0550824423251137E-2</v>
      </c>
      <c r="Q86" s="484">
        <f>Q87+Q88</f>
        <v>0</v>
      </c>
      <c r="R86" s="293">
        <f t="shared" si="17"/>
        <v>0</v>
      </c>
      <c r="W86" s="410"/>
    </row>
    <row r="87" spans="1:23" s="88" customFormat="1" ht="21.3" thickBot="1" x14ac:dyDescent="0.4">
      <c r="A87" s="273" t="s">
        <v>181</v>
      </c>
      <c r="B87" s="489">
        <f>'Evaporation of high DM input'!K17</f>
        <v>0</v>
      </c>
      <c r="C87" s="302">
        <f>D87*C80</f>
        <v>0</v>
      </c>
      <c r="D87" s="300">
        <f t="shared" si="13"/>
        <v>0</v>
      </c>
      <c r="E87" s="481">
        <v>0</v>
      </c>
      <c r="G87" s="481">
        <v>0</v>
      </c>
      <c r="I87" s="422">
        <v>0</v>
      </c>
      <c r="J87" s="155"/>
      <c r="K87" s="472">
        <v>0.95</v>
      </c>
      <c r="L87" s="282">
        <f t="shared" si="14"/>
        <v>5.0000000000000044E-2</v>
      </c>
      <c r="M87" s="484">
        <f>(C87+I87)*K87</f>
        <v>0</v>
      </c>
      <c r="N87" s="293">
        <f t="shared" si="15"/>
        <v>0</v>
      </c>
      <c r="O87" s="484">
        <f>(C87+I87)*L87</f>
        <v>0</v>
      </c>
      <c r="P87" s="293">
        <f t="shared" si="16"/>
        <v>0</v>
      </c>
      <c r="Q87" s="484">
        <f>(E87+G87)</f>
        <v>0</v>
      </c>
      <c r="R87" s="293">
        <f t="shared" si="17"/>
        <v>0</v>
      </c>
    </row>
    <row r="88" spans="1:23" s="88" customFormat="1" ht="21.3" thickBot="1" x14ac:dyDescent="0.4">
      <c r="A88" s="272" t="s">
        <v>182</v>
      </c>
      <c r="B88" s="489">
        <f>'Evaporation of high DM input'!K18</f>
        <v>0.36219457246149156</v>
      </c>
      <c r="C88" s="302">
        <f>D88*C80</f>
        <v>213.40484848484846</v>
      </c>
      <c r="D88" s="300">
        <f t="shared" si="13"/>
        <v>0.36219457246149156</v>
      </c>
      <c r="E88" s="481">
        <v>0</v>
      </c>
      <c r="G88" s="481">
        <v>0</v>
      </c>
      <c r="I88" s="422">
        <v>0</v>
      </c>
      <c r="J88" s="155"/>
      <c r="K88" s="473">
        <v>0.9</v>
      </c>
      <c r="L88" s="282">
        <f t="shared" si="14"/>
        <v>9.9999999999999978E-2</v>
      </c>
      <c r="M88" s="484">
        <f>(C88+I88)*K88</f>
        <v>192.06436363636362</v>
      </c>
      <c r="N88" s="293">
        <f t="shared" si="15"/>
        <v>0.54308500981133134</v>
      </c>
      <c r="O88" s="484">
        <f>(C88+I88)*L88</f>
        <v>21.340484848484842</v>
      </c>
      <c r="P88" s="293">
        <f t="shared" si="16"/>
        <v>5.0550824423251137E-2</v>
      </c>
      <c r="Q88" s="484">
        <f>(E88+G88)</f>
        <v>0</v>
      </c>
      <c r="R88" s="293">
        <f t="shared" si="17"/>
        <v>0</v>
      </c>
    </row>
    <row r="89" spans="1:23" s="88" customFormat="1" ht="21.3" thickBot="1" x14ac:dyDescent="0.4">
      <c r="A89" s="273" t="s">
        <v>183</v>
      </c>
      <c r="B89" s="489">
        <f>'Evaporation of high DM input'!K19</f>
        <v>4.7251775994767167</v>
      </c>
      <c r="C89" s="303">
        <f>C90+C93</f>
        <v>2784.0721157894741</v>
      </c>
      <c r="D89" s="300">
        <f t="shared" si="13"/>
        <v>4.7251775994767167</v>
      </c>
      <c r="E89" s="481">
        <v>0</v>
      </c>
      <c r="G89" s="481">
        <v>0</v>
      </c>
      <c r="I89" s="422">
        <v>0</v>
      </c>
      <c r="J89" s="154"/>
      <c r="K89" s="419">
        <f>(M89/(C89+I89))</f>
        <v>0.95087260065718715</v>
      </c>
      <c r="L89" s="282">
        <f t="shared" si="14"/>
        <v>4.912739934281285E-2</v>
      </c>
      <c r="M89" s="484">
        <f>M90+M93</f>
        <v>2647.2978931578946</v>
      </c>
      <c r="N89" s="293">
        <f t="shared" si="15"/>
        <v>7.4855521089856678</v>
      </c>
      <c r="O89" s="484">
        <f>O90+O93</f>
        <v>136.77422263157908</v>
      </c>
      <c r="P89" s="293">
        <f t="shared" si="16"/>
        <v>0.32398747090165142</v>
      </c>
      <c r="Q89" s="484">
        <f>Q90+Q93</f>
        <v>0</v>
      </c>
      <c r="R89" s="293">
        <f t="shared" si="17"/>
        <v>0</v>
      </c>
    </row>
    <row r="90" spans="1:23" s="88" customFormat="1" ht="21.3" thickBot="1" x14ac:dyDescent="0.4">
      <c r="A90" s="272" t="s">
        <v>184</v>
      </c>
      <c r="B90" s="489">
        <f>'Evaporation of high DM input'!K20</f>
        <v>4.5954163247864415</v>
      </c>
      <c r="C90" s="303">
        <f>C91+C92</f>
        <v>2707.6168421052635</v>
      </c>
      <c r="D90" s="300">
        <f t="shared" si="13"/>
        <v>4.5954163247864415</v>
      </c>
      <c r="E90" s="481">
        <v>0</v>
      </c>
      <c r="G90" s="481">
        <v>0</v>
      </c>
      <c r="I90" s="422">
        <v>0</v>
      </c>
      <c r="J90" s="155"/>
      <c r="K90" s="419">
        <f>(M90/(C90+I90))</f>
        <v>0.9502614379084966</v>
      </c>
      <c r="L90" s="282">
        <f t="shared" si="14"/>
        <v>4.9738562091503402E-2</v>
      </c>
      <c r="M90" s="484">
        <f>M91+M92</f>
        <v>2572.9438736842103</v>
      </c>
      <c r="N90" s="293">
        <f t="shared" si="15"/>
        <v>7.2753072065433262</v>
      </c>
      <c r="O90" s="484">
        <f>O91+O92</f>
        <v>134.67296842105276</v>
      </c>
      <c r="P90" s="293">
        <f t="shared" si="16"/>
        <v>0.31901007074326304</v>
      </c>
      <c r="Q90" s="484">
        <f>Q91+Q92</f>
        <v>0</v>
      </c>
      <c r="R90" s="293">
        <f t="shared" si="17"/>
        <v>0</v>
      </c>
    </row>
    <row r="91" spans="1:23" s="88" customFormat="1" ht="21.3" thickBot="1" x14ac:dyDescent="0.4">
      <c r="A91" s="273" t="s">
        <v>185</v>
      </c>
      <c r="B91" s="489">
        <f>'Evaporation of high DM input'!K21</f>
        <v>3.003540081559768E-2</v>
      </c>
      <c r="C91" s="303">
        <f>D91*C80</f>
        <v>17.696842105263173</v>
      </c>
      <c r="D91" s="300">
        <f t="shared" si="13"/>
        <v>3.003540081559768E-2</v>
      </c>
      <c r="E91" s="481">
        <v>0</v>
      </c>
      <c r="F91" s="154"/>
      <c r="G91" s="481">
        <v>0</v>
      </c>
      <c r="I91" s="422">
        <v>0</v>
      </c>
      <c r="J91" s="154"/>
      <c r="K91" s="473">
        <v>0.99</v>
      </c>
      <c r="L91" s="282">
        <f t="shared" si="14"/>
        <v>1.0000000000000009E-2</v>
      </c>
      <c r="M91" s="484">
        <f>(C91+I91)*K91</f>
        <v>17.519873684210541</v>
      </c>
      <c r="N91" s="293">
        <f t="shared" si="15"/>
        <v>4.9539542846673772E-2</v>
      </c>
      <c r="O91" s="484">
        <f>(C91+I91)*L91</f>
        <v>0.17696842105263189</v>
      </c>
      <c r="P91" s="293">
        <f t="shared" si="16"/>
        <v>4.1919851608838808E-4</v>
      </c>
      <c r="Q91" s="484">
        <f>(E91+G91)</f>
        <v>0</v>
      </c>
      <c r="R91" s="293">
        <f t="shared" si="17"/>
        <v>0</v>
      </c>
    </row>
    <row r="92" spans="1:23" s="88" customFormat="1" ht="21.3" thickBot="1" x14ac:dyDescent="0.4">
      <c r="A92" s="272" t="s">
        <v>186</v>
      </c>
      <c r="B92" s="489">
        <f>'Evaporation of high DM input'!K22</f>
        <v>4.5653809239708441</v>
      </c>
      <c r="C92" s="302">
        <f>D92*C80</f>
        <v>2689.92</v>
      </c>
      <c r="D92" s="300">
        <f t="shared" si="13"/>
        <v>4.5653809239708441</v>
      </c>
      <c r="E92" s="481">
        <v>0</v>
      </c>
      <c r="F92" s="154"/>
      <c r="G92" s="481">
        <v>0</v>
      </c>
      <c r="I92" s="422">
        <v>0</v>
      </c>
      <c r="J92" s="154"/>
      <c r="K92" s="474">
        <v>0.95</v>
      </c>
      <c r="L92" s="282">
        <f t="shared" si="14"/>
        <v>5.0000000000000044E-2</v>
      </c>
      <c r="M92" s="484">
        <f>(C92+I92)*K92</f>
        <v>2555.424</v>
      </c>
      <c r="N92" s="293">
        <f t="shared" si="15"/>
        <v>7.2257676636966526</v>
      </c>
      <c r="O92" s="484">
        <f>(C92+I92)*L92</f>
        <v>134.49600000000012</v>
      </c>
      <c r="P92" s="293">
        <f t="shared" si="16"/>
        <v>0.31859087222717469</v>
      </c>
      <c r="Q92" s="484">
        <f>(E92+G92)</f>
        <v>0</v>
      </c>
      <c r="R92" s="293">
        <f t="shared" si="17"/>
        <v>0</v>
      </c>
    </row>
    <row r="93" spans="1:23" s="88" customFormat="1" ht="21.3" thickBot="1" x14ac:dyDescent="0.4">
      <c r="A93" s="273" t="s">
        <v>187</v>
      </c>
      <c r="B93" s="489">
        <f>'Evaporation of high DM input'!K23</f>
        <v>0.1297612746902751</v>
      </c>
      <c r="C93" s="303">
        <f>C94+C95</f>
        <v>76.455273684210539</v>
      </c>
      <c r="D93" s="300">
        <f t="shared" si="13"/>
        <v>0.1297612746902751</v>
      </c>
      <c r="E93" s="481">
        <v>0</v>
      </c>
      <c r="F93" s="154"/>
      <c r="G93" s="481">
        <v>0</v>
      </c>
      <c r="I93" s="422">
        <v>0</v>
      </c>
      <c r="J93" s="154"/>
      <c r="K93" s="419">
        <f>(M93/(C93+I93))</f>
        <v>0.97251655629139067</v>
      </c>
      <c r="L93" s="282">
        <f t="shared" si="14"/>
        <v>2.7483443708609334E-2</v>
      </c>
      <c r="M93" s="484">
        <f>M94+M95</f>
        <v>74.354019473684218</v>
      </c>
      <c r="N93" s="293">
        <f t="shared" si="15"/>
        <v>0.21024490244234173</v>
      </c>
      <c r="O93" s="484">
        <f>O94+O95</f>
        <v>2.1012542105263177</v>
      </c>
      <c r="P93" s="293">
        <f t="shared" si="16"/>
        <v>4.97740015838837E-3</v>
      </c>
      <c r="Q93" s="484">
        <f>Q94+Q95</f>
        <v>0</v>
      </c>
      <c r="R93" s="293">
        <f t="shared" si="17"/>
        <v>0</v>
      </c>
    </row>
    <row r="94" spans="1:23" s="88" customFormat="1" ht="21.3" thickBot="1" x14ac:dyDescent="0.4">
      <c r="A94" s="272" t="s">
        <v>188</v>
      </c>
      <c r="B94" s="489">
        <f>'Evaporation of high DM input'!K24</f>
        <v>7.3044426150154856E-2</v>
      </c>
      <c r="C94" s="302">
        <f>D94*C80</f>
        <v>43.037736842105268</v>
      </c>
      <c r="D94" s="300">
        <f t="shared" si="13"/>
        <v>7.3044426150154856E-2</v>
      </c>
      <c r="E94" s="481">
        <v>0</v>
      </c>
      <c r="F94" s="155"/>
      <c r="G94" s="481">
        <v>0</v>
      </c>
      <c r="H94" s="155"/>
      <c r="I94" s="422">
        <v>0</v>
      </c>
      <c r="J94" s="155"/>
      <c r="K94" s="472">
        <v>0.99</v>
      </c>
      <c r="L94" s="282">
        <f t="shared" si="14"/>
        <v>1.0000000000000009E-2</v>
      </c>
      <c r="M94" s="484">
        <f>(C94+I94)*K94</f>
        <v>42.607359473684213</v>
      </c>
      <c r="N94" s="293">
        <f t="shared" si="15"/>
        <v>0.1204774160062857</v>
      </c>
      <c r="O94" s="484">
        <f>(C94+I94)*L94</f>
        <v>0.43037736842105306</v>
      </c>
      <c r="P94" s="293">
        <f t="shared" si="16"/>
        <v>1.0194675023205097E-3</v>
      </c>
      <c r="Q94" s="484">
        <f>(E94+G94)</f>
        <v>0</v>
      </c>
      <c r="R94" s="293">
        <f t="shared" si="17"/>
        <v>0</v>
      </c>
    </row>
    <row r="95" spans="1:23" s="88" customFormat="1" ht="21.3" thickBot="1" x14ac:dyDescent="0.4">
      <c r="A95" s="273" t="s">
        <v>189</v>
      </c>
      <c r="B95" s="489">
        <f>'Evaporation of high DM input'!K25</f>
        <v>5.671684854012024E-2</v>
      </c>
      <c r="C95" s="302">
        <f>D95*C80</f>
        <v>33.417536842105264</v>
      </c>
      <c r="D95" s="300">
        <f t="shared" si="13"/>
        <v>5.671684854012024E-2</v>
      </c>
      <c r="E95" s="481">
        <v>0</v>
      </c>
      <c r="F95" s="155"/>
      <c r="G95" s="481">
        <v>0</v>
      </c>
      <c r="H95" s="155"/>
      <c r="I95" s="422">
        <v>0</v>
      </c>
      <c r="J95" s="155"/>
      <c r="K95" s="472">
        <v>0.95</v>
      </c>
      <c r="L95" s="282">
        <f t="shared" si="14"/>
        <v>5.0000000000000044E-2</v>
      </c>
      <c r="M95" s="484">
        <f>(C95+I95)*K95</f>
        <v>31.746659999999999</v>
      </c>
      <c r="N95" s="293">
        <f t="shared" si="15"/>
        <v>8.9767486436056004E-2</v>
      </c>
      <c r="O95" s="484">
        <f>(C95+I95)*L95</f>
        <v>1.6708768421052647</v>
      </c>
      <c r="P95" s="293">
        <f t="shared" si="16"/>
        <v>3.9579326560678606E-3</v>
      </c>
      <c r="Q95" s="484">
        <f>(E95+G95)</f>
        <v>0</v>
      </c>
      <c r="R95" s="293">
        <f t="shared" si="17"/>
        <v>0</v>
      </c>
    </row>
    <row r="96" spans="1:23" s="88" customFormat="1" ht="21.3" thickBot="1" x14ac:dyDescent="0.4">
      <c r="A96" s="272" t="s">
        <v>190</v>
      </c>
      <c r="B96" s="489">
        <f>'Evaporation of high DM input'!K26</f>
        <v>8.0094402174927075E-3</v>
      </c>
      <c r="C96" s="303">
        <f>C97+C100</f>
        <v>4.719157894736842</v>
      </c>
      <c r="D96" s="300">
        <f t="shared" si="13"/>
        <v>8.0094402174927075E-3</v>
      </c>
      <c r="E96" s="481">
        <v>0</v>
      </c>
      <c r="F96" s="154"/>
      <c r="G96" s="481">
        <v>0</v>
      </c>
      <c r="H96" s="154"/>
      <c r="I96" s="422">
        <v>0</v>
      </c>
      <c r="J96" s="154"/>
      <c r="K96" s="419">
        <f>(M96/(C96+I96))</f>
        <v>0.96624999999999994</v>
      </c>
      <c r="L96" s="282">
        <f t="shared" si="14"/>
        <v>3.3750000000000058E-2</v>
      </c>
      <c r="M96" s="484">
        <f>M97+M100</f>
        <v>4.5598863157894733</v>
      </c>
      <c r="N96" s="293">
        <f t="shared" si="15"/>
        <v>1.2893625124740333E-2</v>
      </c>
      <c r="O96" s="484">
        <f>O97+O100</f>
        <v>0.15927157894736854</v>
      </c>
      <c r="P96" s="293">
        <f t="shared" si="16"/>
        <v>3.772786644795489E-4</v>
      </c>
      <c r="Q96" s="484">
        <f>Q97+Q100</f>
        <v>0</v>
      </c>
      <c r="R96" s="293">
        <f t="shared" si="17"/>
        <v>0</v>
      </c>
    </row>
    <row r="97" spans="1:18" s="88" customFormat="1" ht="21.3" thickBot="1" x14ac:dyDescent="0.4">
      <c r="A97" s="273" t="s">
        <v>191</v>
      </c>
      <c r="B97" s="489">
        <f>'Evaporation of high DM input'!K27</f>
        <v>4.7556051291362958E-3</v>
      </c>
      <c r="C97" s="303">
        <f>C98+C99</f>
        <v>2.802</v>
      </c>
      <c r="D97" s="300">
        <f t="shared" si="13"/>
        <v>4.7556051291362958E-3</v>
      </c>
      <c r="E97" s="481">
        <v>0</v>
      </c>
      <c r="F97" s="155"/>
      <c r="G97" s="481">
        <v>0</v>
      </c>
      <c r="H97" s="155"/>
      <c r="I97" s="422">
        <v>0</v>
      </c>
      <c r="J97" s="155"/>
      <c r="K97" s="419">
        <f>(M97/(C97+I97))</f>
        <v>0.94999999999999984</v>
      </c>
      <c r="L97" s="282">
        <f t="shared" si="14"/>
        <v>5.0000000000000155E-2</v>
      </c>
      <c r="M97" s="484">
        <f>M98+M99</f>
        <v>2.6618999999999997</v>
      </c>
      <c r="N97" s="293">
        <f t="shared" si="15"/>
        <v>7.5268413163506794E-3</v>
      </c>
      <c r="O97" s="484">
        <f>O98+O99</f>
        <v>0.14010000000000011</v>
      </c>
      <c r="P97" s="293">
        <f t="shared" si="16"/>
        <v>3.3186549190330691E-4</v>
      </c>
      <c r="Q97" s="484">
        <f>Q98+Q99</f>
        <v>0</v>
      </c>
      <c r="R97" s="293">
        <f t="shared" si="17"/>
        <v>0</v>
      </c>
    </row>
    <row r="98" spans="1:18" s="88" customFormat="1" ht="21.3" thickBot="1" x14ac:dyDescent="0.4">
      <c r="A98" s="272" t="s">
        <v>192</v>
      </c>
      <c r="B98" s="489">
        <f>'Evaporation of high DM input'!K28</f>
        <v>0</v>
      </c>
      <c r="C98" s="303">
        <f>D98*C80</f>
        <v>0</v>
      </c>
      <c r="D98" s="300">
        <f t="shared" si="13"/>
        <v>0</v>
      </c>
      <c r="E98" s="481">
        <v>0</v>
      </c>
      <c r="F98" s="155"/>
      <c r="G98" s="481">
        <v>0</v>
      </c>
      <c r="H98" s="155"/>
      <c r="I98" s="422">
        <v>0</v>
      </c>
      <c r="J98" s="155"/>
      <c r="K98" s="472">
        <v>0.99</v>
      </c>
      <c r="L98" s="282">
        <f t="shared" si="14"/>
        <v>1.0000000000000009E-2</v>
      </c>
      <c r="M98" s="484">
        <f>(C98+I98)*K98</f>
        <v>0</v>
      </c>
      <c r="N98" s="293">
        <f t="shared" si="15"/>
        <v>0</v>
      </c>
      <c r="O98" s="484">
        <f>(C98+I98)*L98</f>
        <v>0</v>
      </c>
      <c r="P98" s="293">
        <f t="shared" si="16"/>
        <v>0</v>
      </c>
      <c r="Q98" s="484">
        <f>(E98+G98)</f>
        <v>0</v>
      </c>
      <c r="R98" s="293">
        <f t="shared" si="17"/>
        <v>0</v>
      </c>
    </row>
    <row r="99" spans="1:18" s="88" customFormat="1" ht="21.3" thickBot="1" x14ac:dyDescent="0.4">
      <c r="A99" s="273" t="s">
        <v>193</v>
      </c>
      <c r="B99" s="489">
        <f>'Evaporation of high DM input'!K29</f>
        <v>4.7556051291362958E-3</v>
      </c>
      <c r="C99" s="302">
        <f>D99*C80</f>
        <v>2.802</v>
      </c>
      <c r="D99" s="300">
        <f t="shared" si="13"/>
        <v>4.7556051291362958E-3</v>
      </c>
      <c r="E99" s="481">
        <v>0</v>
      </c>
      <c r="F99" s="155"/>
      <c r="G99" s="481">
        <v>0</v>
      </c>
      <c r="H99" s="155"/>
      <c r="I99" s="422">
        <v>0</v>
      </c>
      <c r="J99" s="155"/>
      <c r="K99" s="475">
        <v>0.95</v>
      </c>
      <c r="L99" s="282">
        <f t="shared" si="14"/>
        <v>5.0000000000000044E-2</v>
      </c>
      <c r="M99" s="484">
        <f>(C99+I99)*K99</f>
        <v>2.6618999999999997</v>
      </c>
      <c r="N99" s="294">
        <f t="shared" si="15"/>
        <v>7.5268413163506794E-3</v>
      </c>
      <c r="O99" s="484">
        <f>(C99+I99)*L99</f>
        <v>0.14010000000000011</v>
      </c>
      <c r="P99" s="294">
        <f t="shared" si="16"/>
        <v>3.3186549190330691E-4</v>
      </c>
      <c r="Q99" s="484">
        <f>(E99+G99)</f>
        <v>0</v>
      </c>
      <c r="R99" s="293">
        <f t="shared" si="17"/>
        <v>0</v>
      </c>
    </row>
    <row r="100" spans="1:18" s="88" customFormat="1" ht="21.3" thickBot="1" x14ac:dyDescent="0.4">
      <c r="A100" s="272" t="s">
        <v>194</v>
      </c>
      <c r="B100" s="489">
        <f>'Evaporation of high DM input'!K30</f>
        <v>3.2538350883564125E-3</v>
      </c>
      <c r="C100" s="303">
        <f>C101+C102</f>
        <v>1.9171578947368419</v>
      </c>
      <c r="D100" s="300">
        <f t="shared" si="13"/>
        <v>3.2538350883564125E-3</v>
      </c>
      <c r="E100" s="481">
        <v>0</v>
      </c>
      <c r="F100" s="154"/>
      <c r="G100" s="481">
        <v>0</v>
      </c>
      <c r="H100" s="154"/>
      <c r="I100" s="422">
        <v>0</v>
      </c>
      <c r="J100" s="154"/>
      <c r="K100" s="419">
        <f>(M100/(C100+I100))</f>
        <v>0.99</v>
      </c>
      <c r="L100" s="282">
        <f t="shared" si="14"/>
        <v>1.0000000000000009E-2</v>
      </c>
      <c r="M100" s="484">
        <f>M101+M102</f>
        <v>1.8979863157894734</v>
      </c>
      <c r="N100" s="293">
        <f t="shared" si="15"/>
        <v>5.3667838083896529E-3</v>
      </c>
      <c r="O100" s="484">
        <f>O101+O102</f>
        <v>1.9171578947368435E-2</v>
      </c>
      <c r="P100" s="293">
        <f t="shared" si="16"/>
        <v>4.5413172576241994E-5</v>
      </c>
      <c r="Q100" s="484">
        <f>Q101+Q102</f>
        <v>0</v>
      </c>
      <c r="R100" s="293">
        <f t="shared" si="17"/>
        <v>0</v>
      </c>
    </row>
    <row r="101" spans="1:18" s="88" customFormat="1" ht="21.3" thickBot="1" x14ac:dyDescent="0.4">
      <c r="A101" s="273" t="s">
        <v>195</v>
      </c>
      <c r="B101" s="489">
        <f>'Evaporation of high DM input'!K31</f>
        <v>0</v>
      </c>
      <c r="C101" s="302">
        <f>D101*C80</f>
        <v>0</v>
      </c>
      <c r="D101" s="300">
        <f t="shared" si="13"/>
        <v>0</v>
      </c>
      <c r="E101" s="481">
        <v>0</v>
      </c>
      <c r="F101" s="155"/>
      <c r="G101" s="481">
        <v>0</v>
      </c>
      <c r="H101" s="155"/>
      <c r="I101" s="422">
        <v>0</v>
      </c>
      <c r="J101" s="155"/>
      <c r="K101" s="473">
        <v>0.99</v>
      </c>
      <c r="L101" s="282">
        <f t="shared" si="14"/>
        <v>1.0000000000000009E-2</v>
      </c>
      <c r="M101" s="484">
        <f>(C101+I101)*K101</f>
        <v>0</v>
      </c>
      <c r="N101" s="293">
        <f t="shared" si="15"/>
        <v>0</v>
      </c>
      <c r="O101" s="484">
        <f>(C101+I101)*L101</f>
        <v>0</v>
      </c>
      <c r="P101" s="293">
        <f t="shared" si="16"/>
        <v>0</v>
      </c>
      <c r="Q101" s="484">
        <f>(E101+G101)</f>
        <v>0</v>
      </c>
      <c r="R101" s="293">
        <f t="shared" si="17"/>
        <v>0</v>
      </c>
    </row>
    <row r="102" spans="1:18" s="88" customFormat="1" ht="21.3" thickBot="1" x14ac:dyDescent="0.4">
      <c r="A102" s="272" t="s">
        <v>196</v>
      </c>
      <c r="B102" s="489">
        <f>'Evaporation of high DM input'!K32</f>
        <v>3.2538350883564125E-3</v>
      </c>
      <c r="C102" s="302">
        <f>D102*C80</f>
        <v>1.9171578947368419</v>
      </c>
      <c r="D102" s="300">
        <f t="shared" si="13"/>
        <v>3.2538350883564125E-3</v>
      </c>
      <c r="E102" s="481">
        <v>0</v>
      </c>
      <c r="F102" s="155"/>
      <c r="G102" s="481">
        <v>0</v>
      </c>
      <c r="H102" s="155"/>
      <c r="I102" s="422">
        <v>0</v>
      </c>
      <c r="J102" s="155"/>
      <c r="K102" s="476">
        <v>0.99</v>
      </c>
      <c r="L102" s="282">
        <f t="shared" si="14"/>
        <v>1.0000000000000009E-2</v>
      </c>
      <c r="M102" s="484">
        <f>(C102+I102)*K102</f>
        <v>1.8979863157894734</v>
      </c>
      <c r="N102" s="293">
        <f t="shared" si="15"/>
        <v>5.3667838083896529E-3</v>
      </c>
      <c r="O102" s="484">
        <f>(C102+I102)*L102</f>
        <v>1.9171578947368435E-2</v>
      </c>
      <c r="P102" s="293">
        <f t="shared" si="16"/>
        <v>4.5413172576241994E-5</v>
      </c>
      <c r="Q102" s="484">
        <f>(E102+G102)</f>
        <v>0</v>
      </c>
      <c r="R102" s="293">
        <f t="shared" si="17"/>
        <v>0</v>
      </c>
    </row>
    <row r="103" spans="1:18" s="88" customFormat="1" ht="21.3" thickBot="1" x14ac:dyDescent="0.4">
      <c r="A103" s="273" t="s">
        <v>197</v>
      </c>
      <c r="B103" s="489">
        <f>'Evaporation of high DM input'!K33</f>
        <v>3.7490020434691129E-2</v>
      </c>
      <c r="C103" s="303">
        <f>C104</f>
        <v>22.089099999999998</v>
      </c>
      <c r="D103" s="300">
        <f t="shared" si="13"/>
        <v>3.7490020434691129E-2</v>
      </c>
      <c r="E103" s="481">
        <v>0</v>
      </c>
      <c r="F103" s="154"/>
      <c r="G103" s="481">
        <v>0</v>
      </c>
      <c r="H103" s="154"/>
      <c r="I103" s="422">
        <v>0</v>
      </c>
      <c r="J103" s="154"/>
      <c r="K103" s="419">
        <f>(M103/(C103+I103))</f>
        <v>0.95</v>
      </c>
      <c r="L103" s="282">
        <f t="shared" si="14"/>
        <v>5.0000000000000044E-2</v>
      </c>
      <c r="M103" s="484">
        <f>M104</f>
        <v>20.984644999999997</v>
      </c>
      <c r="N103" s="293">
        <f t="shared" si="15"/>
        <v>5.9336599043897854E-2</v>
      </c>
      <c r="O103" s="484">
        <f>O104</f>
        <v>1.1044550000000009</v>
      </c>
      <c r="P103" s="293">
        <f t="shared" si="16"/>
        <v>2.6162062945044029E-3</v>
      </c>
      <c r="Q103" s="484">
        <f>Q104</f>
        <v>0</v>
      </c>
      <c r="R103" s="293">
        <f t="shared" si="17"/>
        <v>0</v>
      </c>
    </row>
    <row r="104" spans="1:18" s="88" customFormat="1" ht="21.3" thickBot="1" x14ac:dyDescent="0.4">
      <c r="A104" s="272" t="s">
        <v>198</v>
      </c>
      <c r="B104" s="489">
        <f>'Evaporation of high DM input'!K34</f>
        <v>3.7490020434691129E-2</v>
      </c>
      <c r="C104" s="303">
        <f>C105+C106</f>
        <v>22.089099999999998</v>
      </c>
      <c r="D104" s="300">
        <f t="shared" si="13"/>
        <v>3.7490020434691129E-2</v>
      </c>
      <c r="E104" s="481">
        <v>0</v>
      </c>
      <c r="F104" s="155"/>
      <c r="G104" s="481">
        <v>0</v>
      </c>
      <c r="H104" s="155"/>
      <c r="I104" s="422">
        <v>0</v>
      </c>
      <c r="J104" s="155"/>
      <c r="K104" s="419">
        <f>(M104/(C104+I104))</f>
        <v>0.95</v>
      </c>
      <c r="L104" s="282">
        <f>100%-K104</f>
        <v>5.0000000000000044E-2</v>
      </c>
      <c r="M104" s="484">
        <f>M105+M106</f>
        <v>20.984644999999997</v>
      </c>
      <c r="N104" s="293">
        <f t="shared" si="15"/>
        <v>5.9336599043897854E-2</v>
      </c>
      <c r="O104" s="484">
        <f>O105+O106</f>
        <v>1.1044550000000009</v>
      </c>
      <c r="P104" s="293">
        <f t="shared" si="16"/>
        <v>2.6162062945044029E-3</v>
      </c>
      <c r="Q104" s="484">
        <f>Q105+Q106</f>
        <v>0</v>
      </c>
      <c r="R104" s="293">
        <f t="shared" si="17"/>
        <v>0</v>
      </c>
    </row>
    <row r="105" spans="1:18" s="88" customFormat="1" ht="21.3" thickBot="1" x14ac:dyDescent="0.4">
      <c r="A105" s="273" t="s">
        <v>199</v>
      </c>
      <c r="B105" s="489">
        <f>'Evaporation of high DM input'!K35</f>
        <v>0</v>
      </c>
      <c r="C105" s="303">
        <f>D105*C80</f>
        <v>0</v>
      </c>
      <c r="D105" s="300">
        <f t="shared" si="13"/>
        <v>0</v>
      </c>
      <c r="E105" s="481">
        <v>0</v>
      </c>
      <c r="F105" s="155"/>
      <c r="G105" s="481">
        <v>0</v>
      </c>
      <c r="H105" s="155"/>
      <c r="I105" s="422">
        <v>0</v>
      </c>
      <c r="J105" s="155"/>
      <c r="K105" s="473">
        <v>1</v>
      </c>
      <c r="L105" s="282">
        <f t="shared" ref="L105" si="19">100%-K105</f>
        <v>0</v>
      </c>
      <c r="M105" s="484">
        <f>(C105+I105)*K105</f>
        <v>0</v>
      </c>
      <c r="N105" s="293">
        <f t="shared" si="15"/>
        <v>0</v>
      </c>
      <c r="O105" s="484">
        <f>(C105+I105)*L105</f>
        <v>0</v>
      </c>
      <c r="P105" s="293">
        <f t="shared" si="16"/>
        <v>0</v>
      </c>
      <c r="Q105" s="484">
        <f>(E105+G105)</f>
        <v>0</v>
      </c>
      <c r="R105" s="293">
        <f t="shared" si="17"/>
        <v>0</v>
      </c>
    </row>
    <row r="106" spans="1:18" s="88" customFormat="1" ht="21.3" thickBot="1" x14ac:dyDescent="0.4">
      <c r="A106" s="272" t="s">
        <v>200</v>
      </c>
      <c r="B106" s="489">
        <f>'Evaporation of high DM input'!K36</f>
        <v>3.7490020434691129E-2</v>
      </c>
      <c r="C106" s="302">
        <f>D106*C80</f>
        <v>22.089099999999998</v>
      </c>
      <c r="D106" s="300">
        <f t="shared" si="13"/>
        <v>3.7490020434691129E-2</v>
      </c>
      <c r="E106" s="482">
        <v>0</v>
      </c>
      <c r="F106" s="155"/>
      <c r="G106" s="482">
        <v>0</v>
      </c>
      <c r="H106" s="155"/>
      <c r="I106" s="423">
        <v>0</v>
      </c>
      <c r="J106" s="155"/>
      <c r="K106" s="476">
        <v>0.95</v>
      </c>
      <c r="L106" s="282">
        <f>100%-K106</f>
        <v>5.0000000000000044E-2</v>
      </c>
      <c r="M106" s="484">
        <f>(C106+I106)*K106</f>
        <v>20.984644999999997</v>
      </c>
      <c r="N106" s="293">
        <f t="shared" si="15"/>
        <v>5.9336599043897854E-2</v>
      </c>
      <c r="O106" s="484">
        <f>(C106+I106)*L106</f>
        <v>1.1044550000000009</v>
      </c>
      <c r="P106" s="293">
        <f t="shared" si="16"/>
        <v>2.6162062945044029E-3</v>
      </c>
      <c r="Q106" s="484">
        <f>(E106+G106)</f>
        <v>0</v>
      </c>
      <c r="R106" s="293">
        <f t="shared" si="17"/>
        <v>0</v>
      </c>
    </row>
    <row r="107" spans="1:18" s="88" customFormat="1" x14ac:dyDescent="0.25">
      <c r="A107" s="92"/>
      <c r="B107" s="92"/>
      <c r="C107" s="92"/>
      <c r="D107" s="92"/>
    </row>
    <row r="108" spans="1:18" s="365" customFormat="1" ht="15.05" thickBot="1" x14ac:dyDescent="0.3">
      <c r="A108" s="453"/>
      <c r="B108" s="453"/>
      <c r="C108" s="453"/>
      <c r="D108" s="453"/>
    </row>
    <row r="109" spans="1:18" s="410" customFormat="1" ht="17.399999999999999" customHeight="1" x14ac:dyDescent="0.25">
      <c r="A109" s="93"/>
      <c r="B109" s="522" t="s">
        <v>481</v>
      </c>
      <c r="D109" s="528" t="str">
        <f>IF(D117&gt;15, "RO will not be able to process this stream, because of too high dry matter content!","")</f>
        <v/>
      </c>
      <c r="E109" s="523" t="str">
        <f>CONCATENATE(E110,"% NaOH solution for CIP")</f>
        <v>30% NaOH solution for CIP</v>
      </c>
      <c r="F109" s="524"/>
      <c r="G109" s="523" t="str">
        <f>CONCATENATE(G110,"% H2SO4 solution for CIP")</f>
        <v>37% H2SO4 solution for CIP</v>
      </c>
      <c r="H109" s="524"/>
      <c r="I109" s="523" t="str">
        <f>CONCATENATE(I110,"% H2SO4 solution for acidification membranes")</f>
        <v>96% H2SO4 solution for acidification membranes</v>
      </c>
      <c r="J109" s="524"/>
    </row>
    <row r="110" spans="1:18" s="410" customFormat="1" ht="18" customHeight="1" x14ac:dyDescent="0.25">
      <c r="A110" s="93"/>
      <c r="B110" s="522"/>
      <c r="D110" s="528"/>
      <c r="E110" s="458">
        <v>30</v>
      </c>
      <c r="F110" s="464" t="s">
        <v>14</v>
      </c>
      <c r="G110" s="458">
        <v>37</v>
      </c>
      <c r="H110" s="464" t="s">
        <v>14</v>
      </c>
      <c r="I110" s="458">
        <v>96</v>
      </c>
      <c r="J110" s="464" t="s">
        <v>14</v>
      </c>
      <c r="M110" s="88"/>
    </row>
    <row r="111" spans="1:18" s="410" customFormat="1" ht="17.399999999999999" customHeight="1" x14ac:dyDescent="0.25">
      <c r="A111" s="93"/>
      <c r="B111" s="522"/>
      <c r="D111" s="528"/>
      <c r="E111" s="459">
        <f>E110*10</f>
        <v>300</v>
      </c>
      <c r="F111" s="465" t="s">
        <v>465</v>
      </c>
      <c r="G111" s="459">
        <f>G110*10</f>
        <v>370</v>
      </c>
      <c r="H111" s="465" t="s">
        <v>457</v>
      </c>
      <c r="I111" s="459">
        <f>I110*10</f>
        <v>960</v>
      </c>
      <c r="J111" s="465" t="s">
        <v>457</v>
      </c>
      <c r="L111" s="88"/>
    </row>
    <row r="112" spans="1:18" s="410" customFormat="1" ht="18.5" customHeight="1" x14ac:dyDescent="0.3">
      <c r="A112" s="93"/>
      <c r="B112" s="522"/>
      <c r="C112" s="144"/>
      <c r="D112" s="528"/>
      <c r="E112" s="458">
        <v>1.33</v>
      </c>
      <c r="F112" s="465" t="s">
        <v>201</v>
      </c>
      <c r="G112" s="458">
        <v>1.2768999999999999</v>
      </c>
      <c r="H112" s="465" t="s">
        <v>201</v>
      </c>
      <c r="I112" s="458">
        <v>1.84</v>
      </c>
      <c r="J112" s="465" t="s">
        <v>201</v>
      </c>
      <c r="L112" s="88"/>
      <c r="M112" s="101"/>
    </row>
    <row r="113" spans="1:23" s="88" customFormat="1" ht="15.05" customHeight="1" x14ac:dyDescent="0.25">
      <c r="B113" s="522"/>
      <c r="D113" s="528"/>
      <c r="E113" s="459">
        <f>E$9*E$7</f>
        <v>0.73150000000000015</v>
      </c>
      <c r="F113" s="465" t="s">
        <v>441</v>
      </c>
      <c r="G113" s="459">
        <f>G$9*G$7</f>
        <v>2.04304</v>
      </c>
      <c r="H113" s="465" t="s">
        <v>441</v>
      </c>
      <c r="I113" s="459">
        <f>I$9*I$7</f>
        <v>13.34</v>
      </c>
      <c r="J113" s="465" t="s">
        <v>441</v>
      </c>
    </row>
    <row r="114" spans="1:23" s="88" customFormat="1" ht="88.3" thickBot="1" x14ac:dyDescent="0.3">
      <c r="A114" s="488"/>
      <c r="B114" s="490" t="s">
        <v>482</v>
      </c>
      <c r="D114" s="528"/>
      <c r="E114" s="460">
        <v>0.55000000000000004</v>
      </c>
      <c r="F114" s="444" t="str">
        <f>CONCATENATE("L ",E109,"/ton condensate")</f>
        <v>L 30% NaOH solution for CIP/ton condensate</v>
      </c>
      <c r="G114" s="460">
        <v>1.6</v>
      </c>
      <c r="H114" s="444" t="str">
        <f>CONCATENATE("L ",G109,"/ton condensate")</f>
        <v>L 37% H2SO4 solution for CIP/ton condensate</v>
      </c>
      <c r="I114" s="460">
        <v>7.25</v>
      </c>
      <c r="J114" s="444" t="str">
        <f>CONCATENATE("L ",I109,"/ton condensate")</f>
        <v>L 96% H2SO4 solution for acidification membranes/ton condensate</v>
      </c>
    </row>
    <row r="115" spans="1:23" s="88" customFormat="1" ht="21.3" thickBot="1" x14ac:dyDescent="0.4">
      <c r="A115" s="272" t="s">
        <v>361</v>
      </c>
      <c r="C115" s="489">
        <f>'Evaporation of high DM input'!J46</f>
        <v>116800792.18909091</v>
      </c>
      <c r="E115" s="479">
        <f>(E113/1000)*C115</f>
        <v>85439.779486320011</v>
      </c>
      <c r="G115" s="479">
        <f>(G113/1000)*C115</f>
        <v>238628.69047400026</v>
      </c>
      <c r="I115" s="425">
        <f>(I113/1000)*C115</f>
        <v>1558122.5678024727</v>
      </c>
      <c r="J115" s="155"/>
      <c r="K115" s="452">
        <f>(M115/(C115+I115))</f>
        <v>0.45642310041405054</v>
      </c>
      <c r="L115" s="282">
        <f>100%-K115</f>
        <v>0.54357689958594946</v>
      </c>
      <c r="M115" s="483">
        <f>(M116+M117)/1000</f>
        <v>54021742.834983595</v>
      </c>
      <c r="N115" s="345"/>
      <c r="O115" s="483">
        <f>(O116+O117)/1000</f>
        <v>64337171.921909787</v>
      </c>
      <c r="P115" s="345"/>
      <c r="Q115" s="483">
        <f>(Q116+Q117)/1000</f>
        <v>324068.46996032028</v>
      </c>
      <c r="R115" s="345"/>
    </row>
    <row r="116" spans="1:23" s="88" customFormat="1" ht="21.3" thickBot="1" x14ac:dyDescent="0.4">
      <c r="A116" s="273" t="s">
        <v>175</v>
      </c>
      <c r="B116" s="489">
        <f>'Evaporation of high DM input'!K47</f>
        <v>998.34243428094669</v>
      </c>
      <c r="C116" s="283">
        <f>(C115*1000)-C117</f>
        <v>116607187200</v>
      </c>
      <c r="D116" s="300">
        <f>B116</f>
        <v>998.34243428094669</v>
      </c>
      <c r="E116" s="480">
        <f>(E115*1000)-E117</f>
        <v>59807845.640423998</v>
      </c>
      <c r="G116" s="480">
        <f>(G115*1000)-G117</f>
        <v>150336074.99862015</v>
      </c>
      <c r="I116" s="426">
        <f>(I115*1000)-I117</f>
        <v>62324902.712099075</v>
      </c>
      <c r="J116" s="155"/>
      <c r="K116" s="472">
        <v>0.45</v>
      </c>
      <c r="L116" s="282">
        <f>100%-K116</f>
        <v>0.55000000000000004</v>
      </c>
      <c r="M116" s="484">
        <f>(C116+I116)*K116</f>
        <v>52501280446.220444</v>
      </c>
      <c r="N116" s="293">
        <f>M116/$M$10</f>
        <v>148453663.48244718</v>
      </c>
      <c r="O116" s="484">
        <f>(C116+I116)*L116</f>
        <v>64168231656.491661</v>
      </c>
      <c r="P116" s="293">
        <f>O116/$O$10</f>
        <v>152000155.34080613</v>
      </c>
      <c r="Q116" s="484">
        <f>(E116+G116)</f>
        <v>210143920.63904417</v>
      </c>
      <c r="R116" s="293">
        <f>Q116/$Q$10</f>
        <v>98929040.686583668</v>
      </c>
    </row>
    <row r="117" spans="1:23" s="88" customFormat="1" ht="21.3" thickBot="1" x14ac:dyDescent="0.4">
      <c r="A117" s="272" t="s">
        <v>176</v>
      </c>
      <c r="B117" s="489">
        <f>'Evaporation of high DM input'!K48</f>
        <v>1.6575657190533304</v>
      </c>
      <c r="C117" s="280">
        <f>C118+C121</f>
        <v>193604989.09090909</v>
      </c>
      <c r="D117" s="300">
        <f t="shared" ref="D117:D141" si="20">B117</f>
        <v>1.6575657190533304</v>
      </c>
      <c r="E117" s="480">
        <f>E118+E121</f>
        <v>25631933.845896002</v>
      </c>
      <c r="G117" s="480">
        <f>G118+G121</f>
        <v>88292615.475380108</v>
      </c>
      <c r="I117" s="426">
        <f>I118+I121</f>
        <v>1495797665.0903738</v>
      </c>
      <c r="J117" s="155"/>
      <c r="K117" s="419">
        <f>(M117/(C117+I117))</f>
        <v>0.90000000000000013</v>
      </c>
      <c r="L117" s="282">
        <f t="shared" ref="L117:L138" si="21">100%-K117</f>
        <v>9.9999999999999867E-2</v>
      </c>
      <c r="M117" s="484">
        <f>M118+M121</f>
        <v>1520462388.7631547</v>
      </c>
      <c r="N117" s="293">
        <f t="shared" ref="N117:N141" si="22">M117/$M$10</f>
        <v>4299289.6531424029</v>
      </c>
      <c r="O117" s="484">
        <f>(C117+I117)*L117</f>
        <v>168940265.41812804</v>
      </c>
      <c r="P117" s="293">
        <f t="shared" ref="P117:P141" si="23">O117/$O$10</f>
        <v>400181.6151696092</v>
      </c>
      <c r="Q117" s="484">
        <f>Q118+Q121</f>
        <v>113924549.32127611</v>
      </c>
      <c r="R117" s="293">
        <f t="shared" ref="R117:R141" si="24">Q117/$Q$10</f>
        <v>53632036.276528925</v>
      </c>
    </row>
    <row r="118" spans="1:23" s="88" customFormat="1" ht="21.3" thickBot="1" x14ac:dyDescent="0.4">
      <c r="A118" s="273" t="s">
        <v>177</v>
      </c>
      <c r="B118" s="489">
        <f>'Evaporation of high DM input'!K49</f>
        <v>1.2956700830950931</v>
      </c>
      <c r="C118" s="280">
        <f>C119+C120</f>
        <v>151335292.12121212</v>
      </c>
      <c r="D118" s="300">
        <f t="shared" si="20"/>
        <v>1.2956700830950931</v>
      </c>
      <c r="E118" s="480">
        <f>(E115*1000*E110%)</f>
        <v>25631933.845896002</v>
      </c>
      <c r="G118" s="480">
        <f>(G115*1000*G110%)</f>
        <v>88292615.475380108</v>
      </c>
      <c r="I118" s="426">
        <f>(I115*1000*I110%)</f>
        <v>1495797665.0903738</v>
      </c>
      <c r="J118" s="155"/>
      <c r="K118" s="419">
        <f>(M118/(C118+I118))</f>
        <v>0.9</v>
      </c>
      <c r="L118" s="282">
        <f t="shared" si="21"/>
        <v>9.9999999999999978E-2</v>
      </c>
      <c r="M118" s="484">
        <f>M119+M120</f>
        <v>1482419661.4904275</v>
      </c>
      <c r="N118" s="293">
        <f t="shared" si="22"/>
        <v>4191719.2818200304</v>
      </c>
      <c r="O118" s="484">
        <f>O119+O120</f>
        <v>164713295.72115856</v>
      </c>
      <c r="P118" s="293">
        <f t="shared" si="23"/>
        <v>390168.87157399784</v>
      </c>
      <c r="Q118" s="484">
        <f>Q119+Q120</f>
        <v>113924549.32127611</v>
      </c>
      <c r="R118" s="293">
        <f t="shared" si="24"/>
        <v>53632036.276528925</v>
      </c>
    </row>
    <row r="119" spans="1:23" s="88" customFormat="1" ht="21.3" thickBot="1" x14ac:dyDescent="0.4">
      <c r="A119" s="272" t="s">
        <v>178</v>
      </c>
      <c r="B119" s="489">
        <f>'Evaporation of high DM input'!K50</f>
        <v>0</v>
      </c>
      <c r="C119" s="283">
        <f>D119*C115</f>
        <v>0</v>
      </c>
      <c r="D119" s="300">
        <f t="shared" si="20"/>
        <v>0</v>
      </c>
      <c r="E119" s="480">
        <v>0</v>
      </c>
      <c r="G119" s="480">
        <v>0</v>
      </c>
      <c r="I119" s="426">
        <v>0</v>
      </c>
      <c r="J119" s="155"/>
      <c r="K119" s="472">
        <v>0.95</v>
      </c>
      <c r="L119" s="282">
        <f t="shared" si="21"/>
        <v>5.0000000000000044E-2</v>
      </c>
      <c r="M119" s="484">
        <f>(C119+I119)*K119</f>
        <v>0</v>
      </c>
      <c r="N119" s="293">
        <f t="shared" si="22"/>
        <v>0</v>
      </c>
      <c r="O119" s="484">
        <f>(C119+I119)*L119</f>
        <v>0</v>
      </c>
      <c r="P119" s="293">
        <f t="shared" si="23"/>
        <v>0</v>
      </c>
      <c r="Q119" s="484">
        <f t="shared" ref="Q119:Q120" si="25">(E119+G119)</f>
        <v>0</v>
      </c>
      <c r="R119" s="293">
        <f t="shared" si="24"/>
        <v>0</v>
      </c>
    </row>
    <row r="120" spans="1:23" s="88" customFormat="1" ht="21.3" thickBot="1" x14ac:dyDescent="0.4">
      <c r="A120" s="273" t="s">
        <v>179</v>
      </c>
      <c r="B120" s="489">
        <f>'Evaporation of high DM input'!K51</f>
        <v>1.2956700830950931</v>
      </c>
      <c r="C120" s="302">
        <f>D120*C115</f>
        <v>151335292.12121212</v>
      </c>
      <c r="D120" s="300">
        <f t="shared" si="20"/>
        <v>1.2956700830950931</v>
      </c>
      <c r="E120" s="480">
        <f>E118</f>
        <v>25631933.845896002</v>
      </c>
      <c r="G120" s="480">
        <f>G118</f>
        <v>88292615.475380108</v>
      </c>
      <c r="I120" s="426">
        <f>I118</f>
        <v>1495797665.0903738</v>
      </c>
      <c r="J120" s="155"/>
      <c r="K120" s="473">
        <v>0.9</v>
      </c>
      <c r="L120" s="282">
        <f t="shared" si="21"/>
        <v>9.9999999999999978E-2</v>
      </c>
      <c r="M120" s="484">
        <f>(C120+I120)*K120</f>
        <v>1482419661.4904275</v>
      </c>
      <c r="N120" s="293">
        <f t="shared" si="22"/>
        <v>4191719.2818200304</v>
      </c>
      <c r="O120" s="484">
        <f>(C120+I120)*L120</f>
        <v>164713295.72115856</v>
      </c>
      <c r="P120" s="293">
        <f t="shared" si="23"/>
        <v>390168.87157399784</v>
      </c>
      <c r="Q120" s="484">
        <f t="shared" si="25"/>
        <v>113924549.32127611</v>
      </c>
      <c r="R120" s="293">
        <f t="shared" si="24"/>
        <v>53632036.276528925</v>
      </c>
      <c r="W120" s="410"/>
    </row>
    <row r="121" spans="1:23" s="88" customFormat="1" ht="21.3" thickBot="1" x14ac:dyDescent="0.4">
      <c r="A121" s="272" t="s">
        <v>180</v>
      </c>
      <c r="B121" s="489">
        <f>'Evaporation of high DM input'!K52</f>
        <v>0.36189563595823721</v>
      </c>
      <c r="C121" s="303">
        <f>C122+C123</f>
        <v>42269696.969696961</v>
      </c>
      <c r="D121" s="300">
        <f t="shared" si="20"/>
        <v>0.36189563595823721</v>
      </c>
      <c r="E121" s="481">
        <f>E122+E123</f>
        <v>0</v>
      </c>
      <c r="G121" s="481">
        <f>G122+G123</f>
        <v>0</v>
      </c>
      <c r="I121" s="422">
        <f>I122+I123</f>
        <v>0</v>
      </c>
      <c r="J121" s="155"/>
      <c r="K121" s="419">
        <f>(M121/(C121+I121))</f>
        <v>0.9</v>
      </c>
      <c r="L121" s="282">
        <f t="shared" si="21"/>
        <v>9.9999999999999978E-2</v>
      </c>
      <c r="M121" s="484">
        <f>M122+M123</f>
        <v>38042727.272727266</v>
      </c>
      <c r="N121" s="293">
        <f t="shared" si="22"/>
        <v>107570.3713223729</v>
      </c>
      <c r="O121" s="484">
        <f>O122+O123</f>
        <v>4226969.6969696954</v>
      </c>
      <c r="P121" s="293">
        <f t="shared" si="23"/>
        <v>10012.743595611841</v>
      </c>
      <c r="Q121" s="484">
        <f>Q122+Q123</f>
        <v>0</v>
      </c>
      <c r="R121" s="293">
        <f t="shared" si="24"/>
        <v>0</v>
      </c>
      <c r="W121" s="410"/>
    </row>
    <row r="122" spans="1:23" s="88" customFormat="1" ht="21.3" thickBot="1" x14ac:dyDescent="0.4">
      <c r="A122" s="273" t="s">
        <v>181</v>
      </c>
      <c r="B122" s="489">
        <f>'Evaporation of high DM input'!K53</f>
        <v>0</v>
      </c>
      <c r="C122" s="302">
        <f>D122*C115</f>
        <v>0</v>
      </c>
      <c r="D122" s="300">
        <f t="shared" si="20"/>
        <v>0</v>
      </c>
      <c r="E122" s="481">
        <v>0</v>
      </c>
      <c r="G122" s="481">
        <v>0</v>
      </c>
      <c r="I122" s="422">
        <v>0</v>
      </c>
      <c r="J122" s="155"/>
      <c r="K122" s="472">
        <v>0.95</v>
      </c>
      <c r="L122" s="282">
        <f t="shared" si="21"/>
        <v>5.0000000000000044E-2</v>
      </c>
      <c r="M122" s="484">
        <f>(C122+I122)*K122</f>
        <v>0</v>
      </c>
      <c r="N122" s="293">
        <f t="shared" si="22"/>
        <v>0</v>
      </c>
      <c r="O122" s="484">
        <f>(C122+I122)*L122</f>
        <v>0</v>
      </c>
      <c r="P122" s="293">
        <f t="shared" si="23"/>
        <v>0</v>
      </c>
      <c r="Q122" s="484">
        <f>(E122+G122)</f>
        <v>0</v>
      </c>
      <c r="R122" s="293">
        <f t="shared" si="24"/>
        <v>0</v>
      </c>
    </row>
    <row r="123" spans="1:23" s="88" customFormat="1" ht="21.3" thickBot="1" x14ac:dyDescent="0.4">
      <c r="A123" s="272" t="s">
        <v>182</v>
      </c>
      <c r="B123" s="489">
        <f>'Evaporation of high DM input'!K54</f>
        <v>0.36189563595823721</v>
      </c>
      <c r="C123" s="302">
        <f>D123*C115</f>
        <v>42269696.969696961</v>
      </c>
      <c r="D123" s="300">
        <f t="shared" si="20"/>
        <v>0.36189563595823721</v>
      </c>
      <c r="E123" s="481">
        <v>0</v>
      </c>
      <c r="G123" s="481">
        <v>0</v>
      </c>
      <c r="I123" s="422">
        <v>0</v>
      </c>
      <c r="J123" s="155"/>
      <c r="K123" s="473">
        <v>0.9</v>
      </c>
      <c r="L123" s="282">
        <f t="shared" si="21"/>
        <v>9.9999999999999978E-2</v>
      </c>
      <c r="M123" s="484">
        <f>(C123+I123)*K123</f>
        <v>38042727.272727266</v>
      </c>
      <c r="N123" s="293">
        <f t="shared" si="22"/>
        <v>107570.3713223729</v>
      </c>
      <c r="O123" s="484">
        <f>(C123+I123)*L123</f>
        <v>4226969.6969696954</v>
      </c>
      <c r="P123" s="293">
        <f t="shared" si="23"/>
        <v>10012.743595611841</v>
      </c>
      <c r="Q123" s="484">
        <f>(E123+G123)</f>
        <v>0</v>
      </c>
      <c r="R123" s="293">
        <f t="shared" si="24"/>
        <v>0</v>
      </c>
    </row>
    <row r="124" spans="1:23" s="88" customFormat="1" ht="21.3" thickBot="1" x14ac:dyDescent="0.4">
      <c r="A124" s="273" t="s">
        <v>183</v>
      </c>
      <c r="B124" s="489">
        <f>'Evaporation of high DM input'!K55</f>
        <v>0.24882297891936744</v>
      </c>
      <c r="C124" s="303">
        <f>C125+C128</f>
        <v>29062721.052631583</v>
      </c>
      <c r="D124" s="300">
        <f t="shared" si="20"/>
        <v>0.24882297891936744</v>
      </c>
      <c r="E124" s="481">
        <v>0</v>
      </c>
      <c r="G124" s="481">
        <v>0</v>
      </c>
      <c r="I124" s="422">
        <v>0</v>
      </c>
      <c r="J124" s="154"/>
      <c r="K124" s="419">
        <f>(M124/(C124+I124))</f>
        <v>0.95779879523723377</v>
      </c>
      <c r="L124" s="282">
        <f t="shared" si="21"/>
        <v>4.2201204762766231E-2</v>
      </c>
      <c r="M124" s="484">
        <f>M125+M128</f>
        <v>27836239.210526321</v>
      </c>
      <c r="N124" s="293">
        <f t="shared" si="22"/>
        <v>78710.302934599487</v>
      </c>
      <c r="O124" s="484">
        <f>O125+O128</f>
        <v>1226481.8421052643</v>
      </c>
      <c r="P124" s="293">
        <f t="shared" si="23"/>
        <v>2905.2605270573677</v>
      </c>
      <c r="Q124" s="484">
        <f>Q125+Q128</f>
        <v>0</v>
      </c>
      <c r="R124" s="293">
        <f t="shared" si="24"/>
        <v>0</v>
      </c>
    </row>
    <row r="125" spans="1:23" s="88" customFormat="1" ht="21.3" thickBot="1" x14ac:dyDescent="0.4">
      <c r="A125" s="272" t="s">
        <v>184</v>
      </c>
      <c r="B125" s="489">
        <f>'Evaporation of high DM input'!K56</f>
        <v>0.2353540499038817</v>
      </c>
      <c r="C125" s="303">
        <f>C126+C127</f>
        <v>27489539.473684218</v>
      </c>
      <c r="D125" s="300">
        <f t="shared" si="20"/>
        <v>0.2353540499038817</v>
      </c>
      <c r="E125" s="481">
        <v>0</v>
      </c>
      <c r="G125" s="481">
        <v>0</v>
      </c>
      <c r="I125" s="422">
        <v>0</v>
      </c>
      <c r="J125" s="155"/>
      <c r="K125" s="419">
        <f>(M125/(C125+I125))</f>
        <v>0.95695652173913048</v>
      </c>
      <c r="L125" s="282">
        <f t="shared" si="21"/>
        <v>4.3043478260869517E-2</v>
      </c>
      <c r="M125" s="484">
        <f>M126+M127</f>
        <v>26306294.078947376</v>
      </c>
      <c r="N125" s="293">
        <f t="shared" si="22"/>
        <v>74384.199689504632</v>
      </c>
      <c r="O125" s="484">
        <f>O126+O127</f>
        <v>1183245.3947368432</v>
      </c>
      <c r="P125" s="293">
        <f t="shared" si="23"/>
        <v>2802.8430761360792</v>
      </c>
      <c r="Q125" s="484">
        <f>Q126+Q127</f>
        <v>0</v>
      </c>
      <c r="R125" s="293">
        <f t="shared" si="24"/>
        <v>0</v>
      </c>
    </row>
    <row r="126" spans="1:23" s="88" customFormat="1" ht="21.3" thickBot="1" x14ac:dyDescent="0.4">
      <c r="A126" s="273" t="s">
        <v>185</v>
      </c>
      <c r="B126" s="489">
        <f>'Evaporation of high DM input'!K57</f>
        <v>4.0931139113718609E-2</v>
      </c>
      <c r="C126" s="303">
        <f>D126*C115</f>
        <v>4780789.4736842178</v>
      </c>
      <c r="D126" s="300">
        <f t="shared" si="20"/>
        <v>4.0931139113718609E-2</v>
      </c>
      <c r="E126" s="481">
        <v>0</v>
      </c>
      <c r="F126" s="154"/>
      <c r="G126" s="481">
        <v>0</v>
      </c>
      <c r="I126" s="422">
        <v>0</v>
      </c>
      <c r="J126" s="154"/>
      <c r="K126" s="473">
        <v>0.99</v>
      </c>
      <c r="L126" s="282">
        <f t="shared" si="21"/>
        <v>1.0000000000000009E-2</v>
      </c>
      <c r="M126" s="484">
        <f>(C126+I126)*K126</f>
        <v>4732981.5789473755</v>
      </c>
      <c r="N126" s="293">
        <f t="shared" si="22"/>
        <v>13383.072729233925</v>
      </c>
      <c r="O126" s="484">
        <f>(C126+I126)*L126</f>
        <v>47807.894736842223</v>
      </c>
      <c r="P126" s="293">
        <f t="shared" si="23"/>
        <v>113.24618489438721</v>
      </c>
      <c r="Q126" s="484">
        <f>(E126+G126)</f>
        <v>0</v>
      </c>
      <c r="R126" s="293">
        <f t="shared" si="24"/>
        <v>0</v>
      </c>
    </row>
    <row r="127" spans="1:23" s="88" customFormat="1" ht="21.3" thickBot="1" x14ac:dyDescent="0.4">
      <c r="A127" s="272" t="s">
        <v>186</v>
      </c>
      <c r="B127" s="489">
        <f>'Evaporation of high DM input'!K58</f>
        <v>0.19442291079016311</v>
      </c>
      <c r="C127" s="302">
        <f>D127*C115</f>
        <v>22708750</v>
      </c>
      <c r="D127" s="300">
        <f t="shared" si="20"/>
        <v>0.19442291079016311</v>
      </c>
      <c r="E127" s="481">
        <v>0</v>
      </c>
      <c r="F127" s="154"/>
      <c r="G127" s="481">
        <v>0</v>
      </c>
      <c r="I127" s="422">
        <v>0</v>
      </c>
      <c r="J127" s="154"/>
      <c r="K127" s="474">
        <v>0.95</v>
      </c>
      <c r="L127" s="282">
        <f t="shared" si="21"/>
        <v>5.0000000000000044E-2</v>
      </c>
      <c r="M127" s="484">
        <f>(C127+I127)*K127</f>
        <v>21573312.5</v>
      </c>
      <c r="N127" s="293">
        <f t="shared" si="22"/>
        <v>61001.126960270703</v>
      </c>
      <c r="O127" s="484">
        <f>(C127+I127)*L127</f>
        <v>1135437.5000000009</v>
      </c>
      <c r="P127" s="293">
        <f t="shared" si="23"/>
        <v>2689.596891241692</v>
      </c>
      <c r="Q127" s="484">
        <f>(E127+G127)</f>
        <v>0</v>
      </c>
      <c r="R127" s="293">
        <f t="shared" si="24"/>
        <v>0</v>
      </c>
    </row>
    <row r="128" spans="1:23" s="88" customFormat="1" ht="21.3" thickBot="1" x14ac:dyDescent="0.4">
      <c r="A128" s="273" t="s">
        <v>187</v>
      </c>
      <c r="B128" s="489">
        <f>'Evaporation of high DM input'!K59</f>
        <v>1.346892901548574E-2</v>
      </c>
      <c r="C128" s="303">
        <f>C129+C130</f>
        <v>1573181.5789473667</v>
      </c>
      <c r="D128" s="300">
        <f t="shared" si="20"/>
        <v>1.346892901548574E-2</v>
      </c>
      <c r="E128" s="481">
        <v>0</v>
      </c>
      <c r="F128" s="154"/>
      <c r="G128" s="481">
        <v>0</v>
      </c>
      <c r="I128" s="422">
        <v>0</v>
      </c>
      <c r="J128" s="154"/>
      <c r="K128" s="419">
        <f>(M128/(C128+I128))</f>
        <v>0.97251655629139067</v>
      </c>
      <c r="L128" s="282">
        <f t="shared" si="21"/>
        <v>2.7483443708609334E-2</v>
      </c>
      <c r="M128" s="484">
        <f>M129+M130</f>
        <v>1529945.1315789456</v>
      </c>
      <c r="N128" s="293">
        <f t="shared" si="22"/>
        <v>4326.1032450948514</v>
      </c>
      <c r="O128" s="484">
        <f>O129+O130</f>
        <v>43236.447368421046</v>
      </c>
      <c r="P128" s="293">
        <f t="shared" si="23"/>
        <v>102.41745092128821</v>
      </c>
      <c r="Q128" s="484">
        <f>Q129+Q130</f>
        <v>0</v>
      </c>
      <c r="R128" s="293">
        <f t="shared" si="24"/>
        <v>0</v>
      </c>
    </row>
    <row r="129" spans="1:18" s="88" customFormat="1" ht="21.3" thickBot="1" x14ac:dyDescent="0.4">
      <c r="A129" s="272" t="s">
        <v>188</v>
      </c>
      <c r="B129" s="489">
        <f>'Evaporation of high DM input'!K60</f>
        <v>7.5818474590482639E-3</v>
      </c>
      <c r="C129" s="302">
        <f>D129*C115</f>
        <v>885565.78947368322</v>
      </c>
      <c r="D129" s="300">
        <f t="shared" si="20"/>
        <v>7.5818474590482639E-3</v>
      </c>
      <c r="E129" s="481">
        <v>0</v>
      </c>
      <c r="F129" s="155"/>
      <c r="G129" s="481">
        <v>0</v>
      </c>
      <c r="H129" s="155"/>
      <c r="I129" s="422">
        <v>0</v>
      </c>
      <c r="J129" s="155"/>
      <c r="K129" s="472">
        <v>0.99</v>
      </c>
      <c r="L129" s="282">
        <f t="shared" si="21"/>
        <v>1.0000000000000009E-2</v>
      </c>
      <c r="M129" s="484">
        <f>(C129+I129)*K129</f>
        <v>876710.13157894637</v>
      </c>
      <c r="N129" s="293">
        <f t="shared" si="22"/>
        <v>2479.0029831442407</v>
      </c>
      <c r="O129" s="484">
        <f>(C129+I129)*L129</f>
        <v>8855.6578947368398</v>
      </c>
      <c r="P129" s="293">
        <f t="shared" si="23"/>
        <v>20.977068260986741</v>
      </c>
      <c r="Q129" s="484">
        <f>(E129+G129)</f>
        <v>0</v>
      </c>
      <c r="R129" s="293">
        <f t="shared" si="24"/>
        <v>0</v>
      </c>
    </row>
    <row r="130" spans="1:18" s="88" customFormat="1" ht="21.3" thickBot="1" x14ac:dyDescent="0.4">
      <c r="A130" s="273" t="s">
        <v>189</v>
      </c>
      <c r="B130" s="489">
        <f>'Evaporation of high DM input'!K61</f>
        <v>5.8870815564374757E-3</v>
      </c>
      <c r="C130" s="302">
        <f>D130*C115</f>
        <v>687615.78947368346</v>
      </c>
      <c r="D130" s="300">
        <f t="shared" si="20"/>
        <v>5.8870815564374757E-3</v>
      </c>
      <c r="E130" s="481">
        <v>0</v>
      </c>
      <c r="F130" s="155"/>
      <c r="G130" s="481">
        <v>0</v>
      </c>
      <c r="H130" s="155"/>
      <c r="I130" s="422">
        <v>0</v>
      </c>
      <c r="J130" s="155"/>
      <c r="K130" s="472">
        <v>0.95</v>
      </c>
      <c r="L130" s="282">
        <f t="shared" si="21"/>
        <v>5.0000000000000044E-2</v>
      </c>
      <c r="M130" s="484">
        <f>(C130+I130)*K130</f>
        <v>653234.9999999993</v>
      </c>
      <c r="N130" s="293">
        <f t="shared" si="22"/>
        <v>1847.100261950611</v>
      </c>
      <c r="O130" s="484">
        <f>(C130+I130)*L130</f>
        <v>34380.789473684206</v>
      </c>
      <c r="P130" s="293">
        <f t="shared" si="23"/>
        <v>81.440382660301466</v>
      </c>
      <c r="Q130" s="484">
        <f>(E130+G130)</f>
        <v>0</v>
      </c>
      <c r="R130" s="293">
        <f t="shared" si="24"/>
        <v>0</v>
      </c>
    </row>
    <row r="131" spans="1:18" s="88" customFormat="1" ht="21.3" thickBot="1" x14ac:dyDescent="0.4">
      <c r="A131" s="272" t="s">
        <v>190</v>
      </c>
      <c r="B131" s="489">
        <f>'Evaporation of high DM input'!K62</f>
        <v>3.0957612670612054E-3</v>
      </c>
      <c r="C131" s="303">
        <f>C132+C135</f>
        <v>361587.36842105264</v>
      </c>
      <c r="D131" s="300">
        <f t="shared" si="20"/>
        <v>3.0957612670612054E-3</v>
      </c>
      <c r="E131" s="481">
        <v>0</v>
      </c>
      <c r="F131" s="154"/>
      <c r="G131" s="481">
        <v>0</v>
      </c>
      <c r="H131" s="154"/>
      <c r="I131" s="422">
        <v>0</v>
      </c>
      <c r="J131" s="154"/>
      <c r="K131" s="419">
        <f>(M131/(C131+I131))</f>
        <v>0.98705299439896599</v>
      </c>
      <c r="L131" s="282">
        <f t="shared" si="21"/>
        <v>1.2947005601034012E-2</v>
      </c>
      <c r="M131" s="484">
        <f>M132+M135</f>
        <v>356905.89473684214</v>
      </c>
      <c r="N131" s="293">
        <f t="shared" si="22"/>
        <v>1009.194197586074</v>
      </c>
      <c r="O131" s="484">
        <f>O132+O135</f>
        <v>4681.4736842105303</v>
      </c>
      <c r="P131" s="293">
        <f t="shared" si="23"/>
        <v>11.089361649128572</v>
      </c>
      <c r="Q131" s="484">
        <f>Q132+Q135</f>
        <v>0</v>
      </c>
      <c r="R131" s="293">
        <f t="shared" si="24"/>
        <v>0</v>
      </c>
    </row>
    <row r="132" spans="1:18" s="88" customFormat="1" ht="21.3" thickBot="1" x14ac:dyDescent="0.4">
      <c r="A132" s="273" t="s">
        <v>191</v>
      </c>
      <c r="B132" s="489">
        <f>'Evaporation of high DM input'!K63</f>
        <v>2.2808064483734002E-4</v>
      </c>
      <c r="C132" s="303">
        <f>C133+C134</f>
        <v>26640</v>
      </c>
      <c r="D132" s="300">
        <f t="shared" si="20"/>
        <v>2.2808064483734002E-4</v>
      </c>
      <c r="E132" s="481">
        <v>0</v>
      </c>
      <c r="F132" s="155"/>
      <c r="G132" s="481">
        <v>0</v>
      </c>
      <c r="H132" s="155"/>
      <c r="I132" s="422">
        <v>0</v>
      </c>
      <c r="J132" s="155"/>
      <c r="K132" s="419">
        <f>(M132/(C132+I132))</f>
        <v>0.95</v>
      </c>
      <c r="L132" s="282">
        <f t="shared" si="21"/>
        <v>5.0000000000000044E-2</v>
      </c>
      <c r="M132" s="484">
        <f>M133+M134</f>
        <v>25308</v>
      </c>
      <c r="N132" s="293">
        <f t="shared" si="22"/>
        <v>71.561403521621031</v>
      </c>
      <c r="O132" s="484">
        <f>O133+O134</f>
        <v>1332.0000000000011</v>
      </c>
      <c r="P132" s="293">
        <f t="shared" si="23"/>
        <v>3.1552093876888283</v>
      </c>
      <c r="Q132" s="484">
        <f>Q133+Q134</f>
        <v>0</v>
      </c>
      <c r="R132" s="293">
        <f t="shared" si="24"/>
        <v>0</v>
      </c>
    </row>
    <row r="133" spans="1:18" s="88" customFormat="1" ht="21.3" thickBot="1" x14ac:dyDescent="0.4">
      <c r="A133" s="272" t="s">
        <v>192</v>
      </c>
      <c r="B133" s="489">
        <f>'Evaporation of high DM input'!K64</f>
        <v>0</v>
      </c>
      <c r="C133" s="303">
        <f>D133*C115</f>
        <v>0</v>
      </c>
      <c r="D133" s="300">
        <f t="shared" si="20"/>
        <v>0</v>
      </c>
      <c r="E133" s="481">
        <v>0</v>
      </c>
      <c r="F133" s="155"/>
      <c r="G133" s="481">
        <v>0</v>
      </c>
      <c r="H133" s="155"/>
      <c r="I133" s="422">
        <v>0</v>
      </c>
      <c r="J133" s="155"/>
      <c r="K133" s="472">
        <v>0.99</v>
      </c>
      <c r="L133" s="282">
        <f t="shared" si="21"/>
        <v>1.0000000000000009E-2</v>
      </c>
      <c r="M133" s="484">
        <f>(C133+I133)*K133</f>
        <v>0</v>
      </c>
      <c r="N133" s="293">
        <f t="shared" si="22"/>
        <v>0</v>
      </c>
      <c r="O133" s="484">
        <f>(C133+I133)*L133</f>
        <v>0</v>
      </c>
      <c r="P133" s="293">
        <f t="shared" si="23"/>
        <v>0</v>
      </c>
      <c r="Q133" s="484">
        <f>(E133+G133)</f>
        <v>0</v>
      </c>
      <c r="R133" s="293">
        <f t="shared" si="24"/>
        <v>0</v>
      </c>
    </row>
    <row r="134" spans="1:18" s="88" customFormat="1" ht="21.3" thickBot="1" x14ac:dyDescent="0.4">
      <c r="A134" s="273" t="s">
        <v>193</v>
      </c>
      <c r="B134" s="489">
        <f>'Evaporation of high DM input'!K65</f>
        <v>2.2808064483734002E-4</v>
      </c>
      <c r="C134" s="302">
        <f>D134*C115</f>
        <v>26640</v>
      </c>
      <c r="D134" s="300">
        <f t="shared" si="20"/>
        <v>2.2808064483734002E-4</v>
      </c>
      <c r="E134" s="481">
        <v>0</v>
      </c>
      <c r="F134" s="155"/>
      <c r="G134" s="481">
        <v>0</v>
      </c>
      <c r="H134" s="155"/>
      <c r="I134" s="422">
        <v>0</v>
      </c>
      <c r="J134" s="155"/>
      <c r="K134" s="475">
        <v>0.95</v>
      </c>
      <c r="L134" s="282">
        <f t="shared" si="21"/>
        <v>5.0000000000000044E-2</v>
      </c>
      <c r="M134" s="484">
        <f>(C134+I134)*K134</f>
        <v>25308</v>
      </c>
      <c r="N134" s="294">
        <f t="shared" si="22"/>
        <v>71.561403521621031</v>
      </c>
      <c r="O134" s="484">
        <f>(C134+I134)*L134</f>
        <v>1332.0000000000011</v>
      </c>
      <c r="P134" s="294">
        <f t="shared" si="23"/>
        <v>3.1552093876888283</v>
      </c>
      <c r="Q134" s="484">
        <f>(E134+G134)</f>
        <v>0</v>
      </c>
      <c r="R134" s="293">
        <f t="shared" si="24"/>
        <v>0</v>
      </c>
    </row>
    <row r="135" spans="1:18" s="88" customFormat="1" ht="21.3" thickBot="1" x14ac:dyDescent="0.4">
      <c r="A135" s="272" t="s">
        <v>194</v>
      </c>
      <c r="B135" s="489">
        <f>'Evaporation of high DM input'!K66</f>
        <v>2.8676806222238658E-3</v>
      </c>
      <c r="C135" s="303">
        <f>C136+C137</f>
        <v>334947.36842105264</v>
      </c>
      <c r="D135" s="300">
        <f t="shared" si="20"/>
        <v>2.8676806222238658E-3</v>
      </c>
      <c r="E135" s="481">
        <v>0</v>
      </c>
      <c r="F135" s="154"/>
      <c r="G135" s="481">
        <v>0</v>
      </c>
      <c r="H135" s="154"/>
      <c r="I135" s="422">
        <v>0</v>
      </c>
      <c r="J135" s="154"/>
      <c r="K135" s="419">
        <f>(M135/(C135+I135))</f>
        <v>0.9900000000000001</v>
      </c>
      <c r="L135" s="282">
        <f t="shared" si="21"/>
        <v>9.9999999999998979E-3</v>
      </c>
      <c r="M135" s="484">
        <f>M136+M137</f>
        <v>331597.89473684214</v>
      </c>
      <c r="N135" s="293">
        <f t="shared" si="22"/>
        <v>937.63279406445292</v>
      </c>
      <c r="O135" s="484">
        <f>O136+O137</f>
        <v>3349.4736842105294</v>
      </c>
      <c r="P135" s="293">
        <f t="shared" si="23"/>
        <v>7.9341522614397437</v>
      </c>
      <c r="Q135" s="484">
        <f>Q136+Q137</f>
        <v>0</v>
      </c>
      <c r="R135" s="293">
        <f t="shared" si="24"/>
        <v>0</v>
      </c>
    </row>
    <row r="136" spans="1:18" s="88" customFormat="1" ht="21.3" thickBot="1" x14ac:dyDescent="0.4">
      <c r="A136" s="273" t="s">
        <v>195</v>
      </c>
      <c r="B136" s="489">
        <f>'Evaporation of high DM input'!K67</f>
        <v>0</v>
      </c>
      <c r="C136" s="302">
        <f>D136*C115</f>
        <v>0</v>
      </c>
      <c r="D136" s="300">
        <f t="shared" si="20"/>
        <v>0</v>
      </c>
      <c r="E136" s="481">
        <v>0</v>
      </c>
      <c r="F136" s="155"/>
      <c r="G136" s="481">
        <v>0</v>
      </c>
      <c r="H136" s="155"/>
      <c r="I136" s="422">
        <v>0</v>
      </c>
      <c r="J136" s="155"/>
      <c r="K136" s="473">
        <v>0.99</v>
      </c>
      <c r="L136" s="282">
        <f t="shared" si="21"/>
        <v>1.0000000000000009E-2</v>
      </c>
      <c r="M136" s="484">
        <f>(C136+I136)*K136</f>
        <v>0</v>
      </c>
      <c r="N136" s="293">
        <f t="shared" si="22"/>
        <v>0</v>
      </c>
      <c r="O136" s="484">
        <f>(C136+I136)*L136</f>
        <v>0</v>
      </c>
      <c r="P136" s="293">
        <f t="shared" si="23"/>
        <v>0</v>
      </c>
      <c r="Q136" s="484">
        <f>(E136+G136)</f>
        <v>0</v>
      </c>
      <c r="R136" s="293">
        <f t="shared" si="24"/>
        <v>0</v>
      </c>
    </row>
    <row r="137" spans="1:18" s="88" customFormat="1" ht="21.3" thickBot="1" x14ac:dyDescent="0.4">
      <c r="A137" s="272" t="s">
        <v>196</v>
      </c>
      <c r="B137" s="489">
        <f>'Evaporation of high DM input'!K68</f>
        <v>2.8676806222238658E-3</v>
      </c>
      <c r="C137" s="302">
        <f>D137*C115</f>
        <v>334947.36842105264</v>
      </c>
      <c r="D137" s="300">
        <f t="shared" si="20"/>
        <v>2.8676806222238658E-3</v>
      </c>
      <c r="E137" s="481">
        <v>0</v>
      </c>
      <c r="F137" s="155"/>
      <c r="G137" s="481">
        <v>0</v>
      </c>
      <c r="H137" s="155"/>
      <c r="I137" s="422">
        <v>0</v>
      </c>
      <c r="J137" s="155"/>
      <c r="K137" s="476">
        <v>0.99</v>
      </c>
      <c r="L137" s="282">
        <f t="shared" si="21"/>
        <v>1.0000000000000009E-2</v>
      </c>
      <c r="M137" s="484">
        <f>(C137+I137)*K137</f>
        <v>331597.89473684214</v>
      </c>
      <c r="N137" s="293">
        <f t="shared" si="22"/>
        <v>937.63279406445292</v>
      </c>
      <c r="O137" s="484">
        <f>(C137+I137)*L137</f>
        <v>3349.4736842105294</v>
      </c>
      <c r="P137" s="293">
        <f t="shared" si="23"/>
        <v>7.9341522614397437</v>
      </c>
      <c r="Q137" s="484">
        <f>(E137+G137)</f>
        <v>0</v>
      </c>
      <c r="R137" s="293">
        <f t="shared" si="24"/>
        <v>0</v>
      </c>
    </row>
    <row r="138" spans="1:18" s="88" customFormat="1" ht="21.3" thickBot="1" x14ac:dyDescent="0.4">
      <c r="A138" s="273" t="s">
        <v>197</v>
      </c>
      <c r="B138" s="489">
        <f>'Evaporation of high DM input'!K69</f>
        <v>3.664178915046544E-2</v>
      </c>
      <c r="C138" s="303">
        <f>C139</f>
        <v>4279790</v>
      </c>
      <c r="D138" s="300">
        <f t="shared" si="20"/>
        <v>3.664178915046544E-2</v>
      </c>
      <c r="E138" s="481">
        <v>0</v>
      </c>
      <c r="F138" s="154"/>
      <c r="G138" s="481">
        <v>0</v>
      </c>
      <c r="H138" s="154"/>
      <c r="I138" s="422">
        <v>0</v>
      </c>
      <c r="J138" s="154"/>
      <c r="K138" s="419">
        <f>(M138/(C138+I138))</f>
        <v>0.95</v>
      </c>
      <c r="L138" s="282">
        <f t="shared" si="21"/>
        <v>5.0000000000000044E-2</v>
      </c>
      <c r="M138" s="484">
        <f>M139</f>
        <v>4065800.5</v>
      </c>
      <c r="N138" s="293">
        <f t="shared" si="22"/>
        <v>11496.538257424867</v>
      </c>
      <c r="O138" s="484">
        <f>O139</f>
        <v>213989.5000000002</v>
      </c>
      <c r="P138" s="293">
        <f t="shared" si="23"/>
        <v>506.89315260273167</v>
      </c>
      <c r="Q138" s="484">
        <f>Q139</f>
        <v>0</v>
      </c>
      <c r="R138" s="293">
        <f t="shared" si="24"/>
        <v>0</v>
      </c>
    </row>
    <row r="139" spans="1:18" s="88" customFormat="1" ht="21.3" thickBot="1" x14ac:dyDescent="0.4">
      <c r="A139" s="272" t="s">
        <v>198</v>
      </c>
      <c r="B139" s="489">
        <f>'Evaporation of high DM input'!K70</f>
        <v>3.664178915046544E-2</v>
      </c>
      <c r="C139" s="303">
        <f>C140+C141</f>
        <v>4279790</v>
      </c>
      <c r="D139" s="300">
        <f t="shared" si="20"/>
        <v>3.664178915046544E-2</v>
      </c>
      <c r="E139" s="481">
        <v>0</v>
      </c>
      <c r="F139" s="155"/>
      <c r="G139" s="481">
        <v>0</v>
      </c>
      <c r="H139" s="155"/>
      <c r="I139" s="422">
        <v>0</v>
      </c>
      <c r="J139" s="155"/>
      <c r="K139" s="419">
        <f>(M139/(C139+I139))</f>
        <v>0.95</v>
      </c>
      <c r="L139" s="282">
        <f>100%-K139</f>
        <v>5.0000000000000044E-2</v>
      </c>
      <c r="M139" s="484">
        <f>M140+M141</f>
        <v>4065800.5</v>
      </c>
      <c r="N139" s="293">
        <f t="shared" si="22"/>
        <v>11496.538257424867</v>
      </c>
      <c r="O139" s="484">
        <f>O140+O141</f>
        <v>213989.5000000002</v>
      </c>
      <c r="P139" s="293">
        <f t="shared" si="23"/>
        <v>506.89315260273167</v>
      </c>
      <c r="Q139" s="484">
        <f>Q140+Q141</f>
        <v>0</v>
      </c>
      <c r="R139" s="293">
        <f t="shared" si="24"/>
        <v>0</v>
      </c>
    </row>
    <row r="140" spans="1:18" s="88" customFormat="1" ht="21.3" thickBot="1" x14ac:dyDescent="0.4">
      <c r="A140" s="273" t="s">
        <v>199</v>
      </c>
      <c r="B140" s="489">
        <f>'Evaporation of high DM input'!K71</f>
        <v>0</v>
      </c>
      <c r="C140" s="303">
        <f>D140*C115</f>
        <v>0</v>
      </c>
      <c r="D140" s="300">
        <f t="shared" si="20"/>
        <v>0</v>
      </c>
      <c r="E140" s="481">
        <v>0</v>
      </c>
      <c r="F140" s="155"/>
      <c r="G140" s="481">
        <v>0</v>
      </c>
      <c r="H140" s="155"/>
      <c r="I140" s="422">
        <v>0</v>
      </c>
      <c r="J140" s="155"/>
      <c r="K140" s="473">
        <v>1</v>
      </c>
      <c r="L140" s="282">
        <f t="shared" ref="L140" si="26">100%-K140</f>
        <v>0</v>
      </c>
      <c r="M140" s="484">
        <f>(C140+I140)*K140</f>
        <v>0</v>
      </c>
      <c r="N140" s="293">
        <f t="shared" si="22"/>
        <v>0</v>
      </c>
      <c r="O140" s="484">
        <f>(C140+I140)*L140</f>
        <v>0</v>
      </c>
      <c r="P140" s="293">
        <f t="shared" si="23"/>
        <v>0</v>
      </c>
      <c r="Q140" s="484">
        <f>(E140+G140)</f>
        <v>0</v>
      </c>
      <c r="R140" s="293">
        <f t="shared" si="24"/>
        <v>0</v>
      </c>
    </row>
    <row r="141" spans="1:18" s="88" customFormat="1" ht="21.3" thickBot="1" x14ac:dyDescent="0.4">
      <c r="A141" s="272" t="s">
        <v>200</v>
      </c>
      <c r="B141" s="489">
        <f>'Evaporation of high DM input'!K72</f>
        <v>3.664178915046544E-2</v>
      </c>
      <c r="C141" s="302">
        <f>D141*C115</f>
        <v>4279790</v>
      </c>
      <c r="D141" s="300">
        <f t="shared" si="20"/>
        <v>3.664178915046544E-2</v>
      </c>
      <c r="E141" s="482">
        <v>0</v>
      </c>
      <c r="F141" s="155"/>
      <c r="G141" s="482">
        <v>0</v>
      </c>
      <c r="H141" s="155"/>
      <c r="I141" s="423">
        <v>0</v>
      </c>
      <c r="J141" s="155"/>
      <c r="K141" s="476">
        <v>0.95</v>
      </c>
      <c r="L141" s="282">
        <f>100%-K141</f>
        <v>5.0000000000000044E-2</v>
      </c>
      <c r="M141" s="484">
        <f>(C141+I141)*K141</f>
        <v>4065800.5</v>
      </c>
      <c r="N141" s="293">
        <f t="shared" si="22"/>
        <v>11496.538257424867</v>
      </c>
      <c r="O141" s="484">
        <f>(C141+I141)*L141</f>
        <v>213989.5000000002</v>
      </c>
      <c r="P141" s="293">
        <f t="shared" si="23"/>
        <v>506.89315260273167</v>
      </c>
      <c r="Q141" s="484">
        <f>(E141+G141)</f>
        <v>0</v>
      </c>
      <c r="R141" s="293">
        <f t="shared" si="24"/>
        <v>0</v>
      </c>
    </row>
    <row r="142" spans="1:18" s="88" customFormat="1" x14ac:dyDescent="0.25">
      <c r="A142" s="92"/>
      <c r="B142" s="92"/>
      <c r="C142" s="92"/>
      <c r="D142" s="92"/>
    </row>
    <row r="143" spans="1:18" s="365" customFormat="1" ht="15.05" thickBot="1" x14ac:dyDescent="0.3">
      <c r="A143" s="453"/>
      <c r="B143" s="453"/>
      <c r="C143" s="453"/>
      <c r="D143" s="453"/>
    </row>
  </sheetData>
  <mergeCells count="27">
    <mergeCell ref="B4:B8"/>
    <mergeCell ref="E74:F74"/>
    <mergeCell ref="G74:H74"/>
    <mergeCell ref="I74:J74"/>
    <mergeCell ref="B109:B113"/>
    <mergeCell ref="E109:F109"/>
    <mergeCell ref="G109:H109"/>
    <mergeCell ref="I109:J109"/>
    <mergeCell ref="D74:D79"/>
    <mergeCell ref="D109:D114"/>
    <mergeCell ref="B74:B78"/>
    <mergeCell ref="Q1:R1"/>
    <mergeCell ref="B39:B43"/>
    <mergeCell ref="E39:F39"/>
    <mergeCell ref="G39:H39"/>
    <mergeCell ref="I39:J39"/>
    <mergeCell ref="E1:J1"/>
    <mergeCell ref="E2:H3"/>
    <mergeCell ref="E4:F4"/>
    <mergeCell ref="G4:H4"/>
    <mergeCell ref="I4:J4"/>
    <mergeCell ref="C1:D1"/>
    <mergeCell ref="K1:L1"/>
    <mergeCell ref="M1:N1"/>
    <mergeCell ref="O1:P1"/>
    <mergeCell ref="D4:D9"/>
    <mergeCell ref="D39:D44"/>
  </mergeCells>
  <conditionalFormatting sqref="D4:D9">
    <cfRule type="containsText" dxfId="5" priority="4" operator="containsText" text="RO will not be able to process this stream, because of too high dry matter content!">
      <formula>NOT(ISERROR(SEARCH("RO will not be able to process this stream, because of too high dry matter content!",D4)))</formula>
    </cfRule>
  </conditionalFormatting>
  <conditionalFormatting sqref="D39:D44">
    <cfRule type="containsText" dxfId="4" priority="3" operator="containsText" text="RO will not be able to process this stream, because of too high dry matter content!">
      <formula>NOT(ISERROR(SEARCH("RO will not be able to process this stream, because of too high dry matter content!",D39)))</formula>
    </cfRule>
  </conditionalFormatting>
  <conditionalFormatting sqref="D74:D79">
    <cfRule type="containsText" dxfId="3" priority="2" operator="containsText" text="RO will not be able to process this stream, because of too high dry matter content!">
      <formula>NOT(ISERROR(SEARCH("RO will not be able to process this stream, because of too high dry matter content!",D74)))</formula>
    </cfRule>
  </conditionalFormatting>
  <conditionalFormatting sqref="D109:D114">
    <cfRule type="containsText" dxfId="2" priority="1" operator="containsText" text="RO will not be able to process this stream, because of too high dry matter content!">
      <formula>NOT(ISERROR(SEARCH("RO will not be able to process this stream, because of too high dry matter content!",D109)))</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943B0-082C-4DFD-998C-2C94FC142EED}">
  <dimension ref="A1:AK40"/>
  <sheetViews>
    <sheetView zoomScale="60" zoomScaleNormal="60" workbookViewId="0">
      <pane xSplit="1" ySplit="3" topLeftCell="AE10" activePane="bottomRight" state="frozen"/>
      <selection pane="topRight" activeCell="B1" sqref="B1"/>
      <selection pane="bottomLeft" activeCell="A4" sqref="A4"/>
      <selection pane="bottomRight" activeCell="AE14" sqref="AE14"/>
    </sheetView>
  </sheetViews>
  <sheetFormatPr defaultColWidth="10.796875" defaultRowHeight="14.4" x14ac:dyDescent="0.25"/>
  <cols>
    <col min="1" max="1" width="34.8984375" style="93" customWidth="1"/>
    <col min="2" max="2" width="33.5" style="244" customWidth="1"/>
    <col min="3" max="3" width="19.5" style="244" customWidth="1"/>
    <col min="4" max="4" width="27" style="244" customWidth="1"/>
    <col min="5" max="5" width="24.19921875" style="244" customWidth="1"/>
    <col min="6" max="6" width="24.5" style="244" customWidth="1"/>
    <col min="7" max="7" width="30.8984375" style="244" customWidth="1"/>
    <col min="8" max="8" width="25.3984375" style="244" customWidth="1"/>
    <col min="9" max="9" width="17.19921875" style="244" customWidth="1"/>
    <col min="10" max="10" width="23.296875" style="244" customWidth="1"/>
    <col min="11" max="11" width="14.296875" style="244" customWidth="1"/>
    <col min="12" max="12" width="17.19921875" style="329" customWidth="1"/>
    <col min="13" max="13" width="14.296875" style="244" customWidth="1"/>
    <col min="14" max="14" width="16.19921875" style="329" customWidth="1"/>
    <col min="15" max="15" width="14.296875" style="244" customWidth="1"/>
    <col min="16" max="16" width="23.8984375" style="329" customWidth="1"/>
    <col min="17" max="17" width="24.19921875" style="244" customWidth="1"/>
    <col min="18" max="18" width="24.5" style="244" customWidth="1"/>
    <col min="19" max="19" width="16.59765625" style="244" customWidth="1"/>
    <col min="20" max="20" width="22.69921875" style="244" customWidth="1"/>
    <col min="21" max="21" width="16.69921875" style="244" customWidth="1"/>
    <col min="22" max="22" width="22.19921875" style="244" customWidth="1"/>
    <col min="23" max="23" width="18.8984375" style="410" customWidth="1"/>
    <col min="24" max="24" width="21.5" style="410" customWidth="1"/>
    <col min="25" max="25" width="14.296875" style="244" customWidth="1"/>
    <col min="26" max="26" width="14.296875" style="410" customWidth="1"/>
    <col min="27" max="27" width="14.296875" style="244" customWidth="1"/>
    <col min="28" max="28" width="14.296875" style="410" customWidth="1"/>
    <col min="29" max="29" width="14.296875" style="244" customWidth="1"/>
    <col min="30" max="30" width="14.296875" style="410" customWidth="1"/>
    <col min="31" max="31" width="30.8984375" style="244" customWidth="1"/>
    <col min="32" max="32" width="24.8984375" style="244" customWidth="1"/>
    <col min="33" max="33" width="14" style="244" customWidth="1"/>
    <col min="34" max="34" width="22.69921875" style="244" customWidth="1"/>
    <col min="35" max="35" width="17.19921875" style="244" customWidth="1"/>
    <col min="36" max="36" width="16" style="244" customWidth="1"/>
    <col min="38" max="16384" width="10.796875" style="244"/>
  </cols>
  <sheetData>
    <row r="1" spans="1:36" s="329" customFormat="1" ht="52.75" customHeight="1" thickBot="1" x14ac:dyDescent="0.5">
      <c r="A1" s="271"/>
      <c r="B1" s="295" t="s">
        <v>359</v>
      </c>
      <c r="C1" s="496" t="s">
        <v>363</v>
      </c>
      <c r="D1" s="497"/>
      <c r="E1" s="498" t="s">
        <v>462</v>
      </c>
      <c r="F1" s="499"/>
      <c r="G1" s="506" t="s">
        <v>168</v>
      </c>
      <c r="H1" s="509"/>
      <c r="I1" s="506" t="s">
        <v>329</v>
      </c>
      <c r="J1" s="509"/>
      <c r="K1" s="525" t="s">
        <v>364</v>
      </c>
      <c r="L1" s="513"/>
      <c r="M1" s="513"/>
      <c r="N1" s="513"/>
      <c r="O1" s="513"/>
      <c r="P1" s="521"/>
      <c r="Q1" s="498" t="s">
        <v>55</v>
      </c>
      <c r="R1" s="499"/>
      <c r="S1" s="506" t="s">
        <v>330</v>
      </c>
      <c r="T1" s="509"/>
      <c r="U1" s="506" t="s">
        <v>167</v>
      </c>
      <c r="V1" s="509"/>
      <c r="W1" s="506" t="s">
        <v>469</v>
      </c>
      <c r="X1" s="509"/>
      <c r="Y1" s="525" t="s">
        <v>364</v>
      </c>
      <c r="Z1" s="513"/>
      <c r="AA1" s="513"/>
      <c r="AB1" s="513"/>
      <c r="AC1" s="513"/>
      <c r="AD1" s="521"/>
      <c r="AE1" s="498" t="s">
        <v>57</v>
      </c>
      <c r="AF1" s="499"/>
      <c r="AG1" s="506" t="s">
        <v>474</v>
      </c>
      <c r="AH1" s="509"/>
      <c r="AI1" s="510" t="s">
        <v>341</v>
      </c>
      <c r="AJ1" s="509"/>
    </row>
    <row r="2" spans="1:36" s="329" customFormat="1" ht="52.75" customHeight="1" x14ac:dyDescent="0.25">
      <c r="B2" s="332" t="s">
        <v>476</v>
      </c>
      <c r="C2" s="333" t="s">
        <v>171</v>
      </c>
      <c r="D2" s="334" t="s">
        <v>360</v>
      </c>
      <c r="E2" s="366" t="s">
        <v>464</v>
      </c>
      <c r="F2" s="366" t="s">
        <v>463</v>
      </c>
      <c r="G2" s="337" t="s">
        <v>1</v>
      </c>
      <c r="H2" s="338" t="s">
        <v>113</v>
      </c>
      <c r="I2" s="337" t="s">
        <v>1</v>
      </c>
      <c r="J2" s="338" t="s">
        <v>113</v>
      </c>
      <c r="K2" s="526" t="s">
        <v>468</v>
      </c>
      <c r="L2" s="526"/>
      <c r="M2" s="526"/>
      <c r="N2" s="526"/>
      <c r="O2" s="410"/>
      <c r="P2" s="410"/>
      <c r="Q2" s="366" t="s">
        <v>466</v>
      </c>
      <c r="R2" s="366" t="s">
        <v>467</v>
      </c>
      <c r="S2" s="337" t="s">
        <v>1</v>
      </c>
      <c r="T2" s="338" t="s">
        <v>113</v>
      </c>
      <c r="U2" s="337" t="s">
        <v>1</v>
      </c>
      <c r="V2" s="338" t="s">
        <v>113</v>
      </c>
      <c r="W2" s="337" t="s">
        <v>1</v>
      </c>
      <c r="X2" s="338" t="s">
        <v>113</v>
      </c>
      <c r="Y2" s="529" t="s">
        <v>473</v>
      </c>
      <c r="Z2" s="529"/>
      <c r="AA2" s="529"/>
      <c r="AB2" s="529"/>
      <c r="AC2" s="529"/>
      <c r="AD2" s="529"/>
      <c r="AE2" s="366" t="s">
        <v>470</v>
      </c>
      <c r="AF2" s="366" t="s">
        <v>471</v>
      </c>
      <c r="AG2" s="337" t="s">
        <v>1</v>
      </c>
      <c r="AH2" s="338" t="s">
        <v>113</v>
      </c>
      <c r="AI2" s="337" t="s">
        <v>1</v>
      </c>
      <c r="AJ2" s="338" t="s">
        <v>113</v>
      </c>
    </row>
    <row r="3" spans="1:36" s="329" customFormat="1" ht="21" customHeight="1" thickBot="1" x14ac:dyDescent="0.3">
      <c r="A3" s="383"/>
      <c r="C3" s="322"/>
      <c r="D3" s="276" t="s">
        <v>130</v>
      </c>
      <c r="F3" s="276" t="s">
        <v>130</v>
      </c>
      <c r="G3" s="276"/>
      <c r="H3" s="276" t="s">
        <v>130</v>
      </c>
      <c r="J3" s="276" t="s">
        <v>130</v>
      </c>
      <c r="K3" s="527"/>
      <c r="L3" s="527"/>
      <c r="M3" s="527"/>
      <c r="N3" s="527"/>
      <c r="Q3" s="410"/>
      <c r="R3" s="276" t="s">
        <v>130</v>
      </c>
      <c r="S3" s="410"/>
      <c r="T3" s="276" t="s">
        <v>130</v>
      </c>
      <c r="U3" s="410"/>
      <c r="V3" s="276" t="s">
        <v>130</v>
      </c>
      <c r="W3" s="410"/>
      <c r="X3" s="276" t="s">
        <v>130</v>
      </c>
      <c r="Y3" s="530"/>
      <c r="Z3" s="530"/>
      <c r="AA3" s="530"/>
      <c r="AB3" s="530"/>
      <c r="AC3" s="530"/>
      <c r="AD3" s="530"/>
      <c r="AE3" s="410"/>
      <c r="AF3" s="276" t="s">
        <v>130</v>
      </c>
      <c r="AG3" s="410"/>
      <c r="AH3" s="276" t="s">
        <v>130</v>
      </c>
      <c r="AI3" s="410"/>
      <c r="AJ3" s="276" t="s">
        <v>130</v>
      </c>
    </row>
    <row r="4" spans="1:36" ht="49.15" customHeight="1" x14ac:dyDescent="0.25">
      <c r="D4" s="88"/>
      <c r="E4" s="88"/>
      <c r="G4" s="329"/>
      <c r="H4" s="528" t="str">
        <f>IF(H12&gt;15, "RO will not be able to process this stream, because of too high dry matter content!","")</f>
        <v/>
      </c>
      <c r="I4" s="329"/>
      <c r="K4" s="523" t="str">
        <f>CONCATENATE(K5,"% NaOH solution for CIP")</f>
        <v>30% NaOH solution for CIP</v>
      </c>
      <c r="L4" s="524"/>
      <c r="M4" s="523" t="str">
        <f>CONCATENATE(M5,"% H2SO4 solution for CIP")</f>
        <v>37% H2SO4 solution for CIP</v>
      </c>
      <c r="N4" s="524"/>
      <c r="O4" s="523" t="str">
        <f>CONCATENATE(O5,"% H2SO4 solution for acidification membranes")</f>
        <v>96% H2SO4 solution for acidification membranes</v>
      </c>
      <c r="P4" s="524"/>
      <c r="R4" s="410"/>
      <c r="S4" s="410"/>
      <c r="T4" s="410"/>
      <c r="U4" s="410"/>
      <c r="V4" s="410"/>
      <c r="Y4" s="523" t="s">
        <v>469</v>
      </c>
      <c r="Z4" s="524"/>
      <c r="AA4" s="523" t="str">
        <f>CONCATENATE(AA5,"% H2SO4 solution for regeneration")</f>
        <v>96% H2SO4 solution for regeneration</v>
      </c>
      <c r="AB4" s="524"/>
      <c r="AC4" s="523" t="str">
        <f>CONCATENATE(AC5,"% NaOH solution for reneration")</f>
        <v>50% NaOH solution for reneration</v>
      </c>
      <c r="AD4" s="524"/>
      <c r="AE4" s="88"/>
    </row>
    <row r="5" spans="1:36" ht="18.2" x14ac:dyDescent="0.25">
      <c r="D5" s="88"/>
      <c r="E5" s="109"/>
      <c r="G5" s="329"/>
      <c r="H5" s="528"/>
      <c r="I5" s="329"/>
      <c r="K5" s="458">
        <v>30</v>
      </c>
      <c r="L5" s="464" t="s">
        <v>14</v>
      </c>
      <c r="M5" s="458">
        <v>37</v>
      </c>
      <c r="N5" s="464" t="s">
        <v>14</v>
      </c>
      <c r="O5" s="458">
        <v>96</v>
      </c>
      <c r="P5" s="464" t="s">
        <v>14</v>
      </c>
      <c r="R5" s="410"/>
      <c r="S5" s="410"/>
      <c r="T5" s="410"/>
      <c r="U5" s="410"/>
      <c r="V5" s="410"/>
      <c r="Y5" s="458">
        <v>100</v>
      </c>
      <c r="Z5" s="464" t="s">
        <v>14</v>
      </c>
      <c r="AA5" s="458">
        <v>96</v>
      </c>
      <c r="AB5" s="464" t="s">
        <v>14</v>
      </c>
      <c r="AC5" s="458">
        <v>50</v>
      </c>
      <c r="AD5" s="464" t="s">
        <v>14</v>
      </c>
      <c r="AE5" s="109"/>
      <c r="AG5" s="88"/>
    </row>
    <row r="6" spans="1:36" ht="17.55" x14ac:dyDescent="0.25">
      <c r="E6" s="109"/>
      <c r="F6" s="329"/>
      <c r="G6" s="329"/>
      <c r="H6" s="528"/>
      <c r="I6" s="329"/>
      <c r="K6" s="459">
        <f>K5*10</f>
        <v>300</v>
      </c>
      <c r="L6" s="465" t="s">
        <v>465</v>
      </c>
      <c r="M6" s="459">
        <f>M5*10</f>
        <v>370</v>
      </c>
      <c r="N6" s="465" t="s">
        <v>457</v>
      </c>
      <c r="O6" s="459">
        <f>O5*10</f>
        <v>960</v>
      </c>
      <c r="P6" s="465" t="s">
        <v>457</v>
      </c>
      <c r="R6" s="410"/>
      <c r="S6" s="410"/>
      <c r="T6" s="410"/>
      <c r="U6" s="410"/>
      <c r="V6" s="410"/>
      <c r="Y6" s="459">
        <f>Y5*10</f>
        <v>1000</v>
      </c>
      <c r="Z6" s="465" t="s">
        <v>472</v>
      </c>
      <c r="AA6" s="459">
        <f>AA5*10</f>
        <v>960</v>
      </c>
      <c r="AB6" s="465" t="s">
        <v>457</v>
      </c>
      <c r="AC6" s="459">
        <f>AC5*10</f>
        <v>500</v>
      </c>
      <c r="AD6" s="465" t="s">
        <v>465</v>
      </c>
      <c r="AE6" s="88"/>
      <c r="AF6" s="88"/>
    </row>
    <row r="7" spans="1:36" ht="18.5" customHeight="1" x14ac:dyDescent="0.3">
      <c r="A7" s="144"/>
      <c r="C7" s="144"/>
      <c r="D7" s="88"/>
      <c r="E7" s="109"/>
      <c r="F7" s="329"/>
      <c r="G7" s="329"/>
      <c r="H7" s="528"/>
      <c r="I7" s="329"/>
      <c r="K7" s="458">
        <v>1.33</v>
      </c>
      <c r="L7" s="465" t="s">
        <v>201</v>
      </c>
      <c r="M7" s="458">
        <v>1.2768999999999999</v>
      </c>
      <c r="N7" s="465" t="s">
        <v>201</v>
      </c>
      <c r="O7" s="458">
        <v>1.84</v>
      </c>
      <c r="P7" s="465" t="s">
        <v>201</v>
      </c>
      <c r="R7" s="410"/>
      <c r="S7" s="410"/>
      <c r="T7" s="410"/>
      <c r="U7" s="410"/>
      <c r="V7" s="410"/>
      <c r="Y7" s="458">
        <v>1</v>
      </c>
      <c r="Z7" s="465" t="s">
        <v>201</v>
      </c>
      <c r="AA7" s="458">
        <v>1.84</v>
      </c>
      <c r="AB7" s="465" t="s">
        <v>201</v>
      </c>
      <c r="AC7" s="458">
        <v>1.5149999999999999</v>
      </c>
      <c r="AD7" s="465" t="s">
        <v>201</v>
      </c>
      <c r="AE7" s="88"/>
      <c r="AF7" s="88"/>
      <c r="AG7" s="101"/>
    </row>
    <row r="8" spans="1:36" s="88" customFormat="1" ht="32.6" x14ac:dyDescent="0.3">
      <c r="A8" s="144"/>
      <c r="E8" s="109"/>
      <c r="F8" s="329"/>
      <c r="G8" s="101"/>
      <c r="H8" s="528"/>
      <c r="I8" s="101"/>
      <c r="J8" s="101"/>
      <c r="K8" s="459">
        <f>K$9*K$7</f>
        <v>0.73150000000000015</v>
      </c>
      <c r="L8" s="465" t="s">
        <v>441</v>
      </c>
      <c r="M8" s="459">
        <f>M$9*M$7</f>
        <v>2.04304</v>
      </c>
      <c r="N8" s="465" t="s">
        <v>441</v>
      </c>
      <c r="O8" s="459">
        <f>O$9*O$7</f>
        <v>13.34</v>
      </c>
      <c r="P8" s="465" t="s">
        <v>441</v>
      </c>
      <c r="R8" s="101"/>
      <c r="S8" s="101"/>
      <c r="T8" s="101"/>
      <c r="U8" s="101"/>
      <c r="V8" s="101"/>
      <c r="W8" s="101"/>
      <c r="X8" s="101"/>
      <c r="Y8" s="459">
        <f>Y$9*Y$7</f>
        <v>99.97</v>
      </c>
      <c r="Z8" s="465" t="s">
        <v>441</v>
      </c>
      <c r="AA8" s="459">
        <f>AA$9*AA$7</f>
        <v>1.84E-2</v>
      </c>
      <c r="AB8" s="465" t="s">
        <v>441</v>
      </c>
      <c r="AC8" s="459">
        <f>AC$9*AC$7</f>
        <v>3.0299999999999997E-2</v>
      </c>
      <c r="AD8" s="465" t="s">
        <v>441</v>
      </c>
      <c r="AH8" s="101"/>
      <c r="AJ8" s="101"/>
    </row>
    <row r="9" spans="1:36" s="88" customFormat="1" ht="68.400000000000006" customHeight="1" thickBot="1" x14ac:dyDescent="0.4">
      <c r="A9" s="144"/>
      <c r="B9" s="143"/>
      <c r="E9" s="109"/>
      <c r="F9" s="329"/>
      <c r="H9" s="528"/>
      <c r="K9" s="460">
        <v>0.55000000000000004</v>
      </c>
      <c r="L9" s="444" t="str">
        <f>CONCATENATE("L ",K4,"/ton LF")</f>
        <v>L 30% NaOH solution for CIP/ton LF</v>
      </c>
      <c r="M9" s="460">
        <v>1.6</v>
      </c>
      <c r="N9" s="444" t="str">
        <f>CONCATENATE("L ",M4,"/ton LF")</f>
        <v>L 37% H2SO4 solution for CIP/ton LF</v>
      </c>
      <c r="O9" s="460">
        <v>7.25</v>
      </c>
      <c r="P9" s="444" t="str">
        <f>CONCATENATE("L ",O4,"/ton LF")</f>
        <v>L 96% H2SO4 solution for acidification membranes/ton LF</v>
      </c>
      <c r="Y9" s="460">
        <f>(10000/100)-AA9-AC9</f>
        <v>99.97</v>
      </c>
      <c r="Z9" s="444" t="str">
        <f>CONCATENATE("L ",Y4,"/ton LF")</f>
        <v>L rinse water/ton LF</v>
      </c>
      <c r="AA9" s="460">
        <v>0.01</v>
      </c>
      <c r="AB9" s="444" t="str">
        <f>CONCATENATE("L ",AA4,"/ton LF")</f>
        <v>L 96% H2SO4 solution for regeneration/ton LF</v>
      </c>
      <c r="AC9" s="460">
        <v>0.02</v>
      </c>
      <c r="AD9" s="444" t="str">
        <f>CONCATENATE("L ",AC4,"/ton LF")</f>
        <v>L 50% NaOH solution for reneration/ton LF</v>
      </c>
    </row>
    <row r="10" spans="1:36" s="88" customFormat="1" ht="21.3" thickBot="1" x14ac:dyDescent="0.4">
      <c r="A10" s="272" t="s">
        <v>361</v>
      </c>
      <c r="B10" s="295">
        <v>161000</v>
      </c>
      <c r="C10" s="280">
        <f>B10</f>
        <v>161000</v>
      </c>
      <c r="D10" s="280"/>
      <c r="E10" s="452">
        <f>(I10/(C10))</f>
        <v>0.40059270000000002</v>
      </c>
      <c r="F10" s="282">
        <f>100%-E10</f>
        <v>0.59940729999999998</v>
      </c>
      <c r="G10" s="346">
        <f>(G11+G12)/1000</f>
        <v>96504.575299999997</v>
      </c>
      <c r="H10" s="345"/>
      <c r="I10" s="346">
        <f>(I11+I12)/1000</f>
        <v>64495.424700000003</v>
      </c>
      <c r="J10" s="345"/>
      <c r="K10" s="479">
        <f>(K$8/1000)*$G$10</f>
        <v>70.593096831950007</v>
      </c>
      <c r="M10" s="479">
        <f>(M$8/1000)*$G$10</f>
        <v>197.16270752091199</v>
      </c>
      <c r="O10" s="425">
        <f>(O$8/1000)*$G$10</f>
        <v>1287.3710345019999</v>
      </c>
      <c r="P10" s="155"/>
      <c r="Q10" s="452">
        <f>(S10/(G10+O10))</f>
        <v>0.46018351633156235</v>
      </c>
      <c r="R10" s="282">
        <f>100%-Q10</f>
        <v>0.5398164836684376</v>
      </c>
      <c r="S10" s="483">
        <f>(S11+S12)/1000</f>
        <v>45002.241733118564</v>
      </c>
      <c r="T10" s="345"/>
      <c r="U10" s="483">
        <f>(U11+U12)/1000</f>
        <v>52789.704601383426</v>
      </c>
      <c r="V10" s="345"/>
      <c r="W10" s="483">
        <f>(W11+W12)/1000</f>
        <v>267.75580435286201</v>
      </c>
      <c r="X10" s="345"/>
      <c r="Y10" s="425">
        <f>(Y$8/1000)*$U10</f>
        <v>5277.3867690003017</v>
      </c>
      <c r="AA10" s="425">
        <f>(AA$8/1000)*$U10</f>
        <v>0.97133056466545509</v>
      </c>
      <c r="AC10" s="425">
        <f>(AC$8/1000)*$U10</f>
        <v>1.5995280494219177</v>
      </c>
      <c r="AE10" s="452">
        <f>(AG10/(U10))</f>
        <v>0.10791310402034793</v>
      </c>
      <c r="AF10" s="282">
        <f>100%-AE10</f>
        <v>0.89208689597965207</v>
      </c>
      <c r="AG10" s="483">
        <f>(AG11+AG12)/1000</f>
        <v>5696.7008838525289</v>
      </c>
      <c r="AH10" s="345"/>
      <c r="AI10" s="483">
        <f>(AI11+AI12)/1000</f>
        <v>52372.961345145282</v>
      </c>
      <c r="AJ10" s="345"/>
    </row>
    <row r="11" spans="1:36" s="88" customFormat="1" ht="34.450000000000003" thickBot="1" x14ac:dyDescent="0.3">
      <c r="A11" s="273" t="s">
        <v>175</v>
      </c>
      <c r="B11" s="384">
        <f>G19/1000</f>
        <v>411.42414526315793</v>
      </c>
      <c r="C11" s="283">
        <f>(C10*1000)-C12</f>
        <v>156009000</v>
      </c>
      <c r="D11" s="300"/>
      <c r="E11" s="472">
        <v>0.61</v>
      </c>
      <c r="F11" s="282">
        <f>100%-E11</f>
        <v>0.39</v>
      </c>
      <c r="G11" s="291">
        <f>($C11)*E11</f>
        <v>95165490</v>
      </c>
      <c r="H11" s="293">
        <f>G11/$G$10</f>
        <v>986.12412628274637</v>
      </c>
      <c r="I11" s="291">
        <f>($C11)*F11</f>
        <v>60843510</v>
      </c>
      <c r="J11" s="293">
        <f>I11/$I$10</f>
        <v>943.37715090664403</v>
      </c>
      <c r="K11" s="480">
        <f>(K10*1000)-K12</f>
        <v>49415.16778236501</v>
      </c>
      <c r="M11" s="480">
        <f>(M10*1000)-M12</f>
        <v>124212.50573817456</v>
      </c>
      <c r="O11" s="426">
        <f>(O10*1000)-O12</f>
        <v>51494.841380079975</v>
      </c>
      <c r="P11" s="155"/>
      <c r="Q11" s="472">
        <v>0.45</v>
      </c>
      <c r="R11" s="282">
        <f>100%-Q11</f>
        <v>0.55000000000000004</v>
      </c>
      <c r="S11" s="484">
        <f>(G11+O11)*Q11</f>
        <v>42847643.178621031</v>
      </c>
      <c r="T11" s="293">
        <f>S11/$S$10</f>
        <v>952.12241720589896</v>
      </c>
      <c r="U11" s="484">
        <f>(G11+O11)*R11</f>
        <v>52369341.662759043</v>
      </c>
      <c r="V11" s="293">
        <f>U11/$U$10</f>
        <v>992.03702801903216</v>
      </c>
      <c r="W11" s="484">
        <f>(K11+M11)</f>
        <v>173627.67352053957</v>
      </c>
      <c r="X11" s="293">
        <f t="shared" ref="X11:X36" si="0">W11/$W$10</f>
        <v>648.45531151109731</v>
      </c>
      <c r="Y11" s="426">
        <f>(Y10*1000)-Y12</f>
        <v>5277386.7690003021</v>
      </c>
      <c r="AA11" s="426">
        <f>(AA10*1000)-AA12</f>
        <v>38.853222586618244</v>
      </c>
      <c r="AC11" s="426">
        <f>(AC10*1000)-AC12</f>
        <v>799.76402471095889</v>
      </c>
      <c r="AE11" s="485" t="s">
        <v>475</v>
      </c>
      <c r="AF11" s="282" t="s">
        <v>342</v>
      </c>
      <c r="AG11" s="486">
        <f>Y11+AA11+AC11</f>
        <v>5278225.3862475995</v>
      </c>
      <c r="AH11" s="293">
        <f>AG11/$AG$10</f>
        <v>926.54072837295871</v>
      </c>
      <c r="AI11" s="486">
        <f>U11</f>
        <v>52369341.662759043</v>
      </c>
      <c r="AJ11" s="293">
        <f>AI11/$AI$10</f>
        <v>999.9308864289269</v>
      </c>
    </row>
    <row r="12" spans="1:36" s="88" customFormat="1" ht="21.3" thickBot="1" x14ac:dyDescent="0.4">
      <c r="A12" s="272" t="s">
        <v>176</v>
      </c>
      <c r="B12" s="295">
        <v>31</v>
      </c>
      <c r="C12" s="280">
        <f>C13+C16</f>
        <v>4991000</v>
      </c>
      <c r="D12" s="301">
        <f>C12/C10</f>
        <v>31</v>
      </c>
      <c r="E12" s="419">
        <f>(I12/(C12))</f>
        <v>0.73170000000000002</v>
      </c>
      <c r="F12" s="282">
        <f>100%-E12</f>
        <v>0.26829999999999998</v>
      </c>
      <c r="G12" s="291">
        <f>G13+G16</f>
        <v>1339085.3</v>
      </c>
      <c r="H12" s="293">
        <f>G12/$G$10</f>
        <v>13.875873717253695</v>
      </c>
      <c r="I12" s="291">
        <f>I13+I16</f>
        <v>3651914.7</v>
      </c>
      <c r="J12" s="293">
        <f t="shared" ref="J12:J35" si="1">I12/$I$10</f>
        <v>56.622849093355917</v>
      </c>
      <c r="K12" s="480">
        <f>K13+K16</f>
        <v>21177.929049585004</v>
      </c>
      <c r="M12" s="480">
        <f>M13+M16</f>
        <v>72950.201782737437</v>
      </c>
      <c r="O12" s="426">
        <f>O13+O16</f>
        <v>1235876.1931219199</v>
      </c>
      <c r="P12" s="155"/>
      <c r="Q12" s="419">
        <f>(S12/(G12+O12))</f>
        <v>0.83674981558084183</v>
      </c>
      <c r="R12" s="282">
        <f t="shared" ref="R12:R35" si="2">100%-Q12</f>
        <v>0.16325018441915817</v>
      </c>
      <c r="S12" s="484">
        <f>S13+S16</f>
        <v>2154598.5544975358</v>
      </c>
      <c r="T12" s="293">
        <f t="shared" ref="T12:T36" si="3">S12/$S$10</f>
        <v>47.877582794101102</v>
      </c>
      <c r="U12" s="484">
        <f>U13+U16</f>
        <v>420362.93862438388</v>
      </c>
      <c r="V12" s="293">
        <f t="shared" ref="V12:V36" si="4">U12/$U$10</f>
        <v>7.9629719809678132</v>
      </c>
      <c r="W12" s="484">
        <f>W13+W16</f>
        <v>94128.130832322437</v>
      </c>
      <c r="X12" s="293">
        <f t="shared" si="0"/>
        <v>351.54468848890264</v>
      </c>
      <c r="Y12" s="426">
        <f>Y13+Y16</f>
        <v>0</v>
      </c>
      <c r="AA12" s="426">
        <f>AA13+AA16</f>
        <v>932.47734207883684</v>
      </c>
      <c r="AC12" s="426">
        <f>AC13+AC16</f>
        <v>799.76402471095889</v>
      </c>
      <c r="AE12" s="419">
        <f>(AG12/(U12))</f>
        <v>0.99550997282103271</v>
      </c>
      <c r="AF12" s="282">
        <f t="shared" ref="AF12:AF36" si="5">100%-AE12</f>
        <v>4.490027178967293E-3</v>
      </c>
      <c r="AG12" s="484">
        <f>AG13+AG16</f>
        <v>418475.49760492984</v>
      </c>
      <c r="AH12" s="293">
        <f t="shared" ref="AH12:AH36" si="6">AG12/$AG$10</f>
        <v>73.459271627041417</v>
      </c>
      <c r="AI12" s="484">
        <f>AI13+AI16</f>
        <v>3619.6823862438423</v>
      </c>
      <c r="AJ12" s="487">
        <f t="shared" ref="AJ12:AJ36" si="7">AI12/$AI$10</f>
        <v>6.9113571073241772E-2</v>
      </c>
    </row>
    <row r="13" spans="1:36" s="88" customFormat="1" ht="17.55" thickBot="1" x14ac:dyDescent="0.3">
      <c r="A13" s="273" t="s">
        <v>177</v>
      </c>
      <c r="B13" s="384">
        <f>B12-B16</f>
        <v>12.399999999999999</v>
      </c>
      <c r="C13" s="280">
        <f>C14+C15</f>
        <v>1996399.9999999998</v>
      </c>
      <c r="D13" s="297">
        <f>C13/C10</f>
        <v>12.399999999999999</v>
      </c>
      <c r="E13" s="419">
        <f>(I13/(C13))</f>
        <v>0.67499999999999993</v>
      </c>
      <c r="F13" s="282">
        <f>100%-E13</f>
        <v>0.32500000000000007</v>
      </c>
      <c r="G13" s="291">
        <f>G14+G15</f>
        <v>648830</v>
      </c>
      <c r="H13" s="293">
        <f t="shared" ref="H13:H36" si="8">G13/$G$10</f>
        <v>6.7233081745918009</v>
      </c>
      <c r="I13" s="291">
        <f>I14+I15</f>
        <v>1347569.9999999998</v>
      </c>
      <c r="J13" s="293">
        <f t="shared" si="1"/>
        <v>20.894040255850889</v>
      </c>
      <c r="K13" s="480">
        <f>(K10*1000*K5%)</f>
        <v>21177.929049585004</v>
      </c>
      <c r="M13" s="480">
        <f>(M10*1000*M5%)</f>
        <v>72950.201782737437</v>
      </c>
      <c r="O13" s="426">
        <f>(O10*1000*O5%)</f>
        <v>1235876.1931219199</v>
      </c>
      <c r="P13" s="155"/>
      <c r="Q13" s="419">
        <f>(S13/(G13+O13))</f>
        <v>0.80794447434546712</v>
      </c>
      <c r="R13" s="282">
        <f t="shared" si="2"/>
        <v>0.19205552565453288</v>
      </c>
      <c r="S13" s="484">
        <f>S14+S15</f>
        <v>1522737.9544975359</v>
      </c>
      <c r="T13" s="293">
        <f t="shared" si="3"/>
        <v>33.836935580409211</v>
      </c>
      <c r="U13" s="484">
        <f>U14+U15</f>
        <v>361968.23862438387</v>
      </c>
      <c r="V13" s="293">
        <f t="shared" si="4"/>
        <v>6.8567960619900497</v>
      </c>
      <c r="W13" s="484">
        <f>W14+W15</f>
        <v>94128.130832322437</v>
      </c>
      <c r="X13" s="293">
        <f t="shared" si="0"/>
        <v>351.54468848890264</v>
      </c>
      <c r="Y13" s="426">
        <v>0</v>
      </c>
      <c r="AA13" s="426">
        <f>(AA10*1000*AA5%)</f>
        <v>932.47734207883684</v>
      </c>
      <c r="AC13" s="426">
        <f>(AC10*1000*AC5%)</f>
        <v>799.76402471095889</v>
      </c>
      <c r="AE13" s="419">
        <f>(AG13/(U13))</f>
        <v>0.99478561702919843</v>
      </c>
      <c r="AF13" s="282">
        <f t="shared" si="5"/>
        <v>5.2143829708015677E-3</v>
      </c>
      <c r="AG13" s="484">
        <f>AG14+AG15</f>
        <v>360080.79760492983</v>
      </c>
      <c r="AH13" s="293">
        <f>AG13/$AG$10</f>
        <v>63.208654438148535</v>
      </c>
      <c r="AI13" s="484">
        <f>AI14+AI15</f>
        <v>3619.6823862438423</v>
      </c>
      <c r="AJ13" s="487">
        <f t="shared" si="7"/>
        <v>6.9113571073241772E-2</v>
      </c>
    </row>
    <row r="14" spans="1:36" s="88" customFormat="1" ht="17.55" thickBot="1" x14ac:dyDescent="0.3">
      <c r="A14" s="272" t="s">
        <v>178</v>
      </c>
      <c r="B14" s="385">
        <f>B21+B28+B31+0.156+0.095+0.72+1.6+0.11</f>
        <v>2.7804799999999998</v>
      </c>
      <c r="C14" s="283">
        <f>D14*C10</f>
        <v>998199.99999999988</v>
      </c>
      <c r="D14" s="300">
        <f>1/2*B13</f>
        <v>6.1999999999999993</v>
      </c>
      <c r="E14" s="472">
        <v>0.1</v>
      </c>
      <c r="F14" s="282">
        <f t="shared" ref="F14:F36" si="9">100%-E14</f>
        <v>0.9</v>
      </c>
      <c r="G14" s="291">
        <f>($C14)*E14</f>
        <v>99820</v>
      </c>
      <c r="H14" s="293">
        <f t="shared" si="8"/>
        <v>1.034355103783354</v>
      </c>
      <c r="I14" s="291">
        <f t="shared" ref="I14:I15" si="10">($C14)*F14</f>
        <v>898379.99999999988</v>
      </c>
      <c r="J14" s="293">
        <f t="shared" si="1"/>
        <v>13.929360170567259</v>
      </c>
      <c r="K14" s="480">
        <v>0</v>
      </c>
      <c r="M14" s="480">
        <v>0</v>
      </c>
      <c r="O14" s="426">
        <v>0</v>
      </c>
      <c r="P14" s="155"/>
      <c r="Q14" s="472">
        <v>0.95</v>
      </c>
      <c r="R14" s="282">
        <f t="shared" si="2"/>
        <v>5.0000000000000044E-2</v>
      </c>
      <c r="S14" s="484">
        <f>(G14+O14)*Q14</f>
        <v>94829</v>
      </c>
      <c r="T14" s="293">
        <f t="shared" si="3"/>
        <v>2.1072061379158442</v>
      </c>
      <c r="U14" s="484">
        <f>(G14+O14)*R14</f>
        <v>4991.0000000000045</v>
      </c>
      <c r="V14" s="293">
        <f t="shared" si="4"/>
        <v>9.4544950339979908E-2</v>
      </c>
      <c r="W14" s="484">
        <f t="shared" ref="W14:W15" si="11">(K14+M14)</f>
        <v>0</v>
      </c>
      <c r="X14" s="293">
        <f t="shared" si="0"/>
        <v>0</v>
      </c>
      <c r="Y14" s="426">
        <f>Y13*5%</f>
        <v>0</v>
      </c>
      <c r="AA14" s="426">
        <f>AA13*5%</f>
        <v>46.623867103941848</v>
      </c>
      <c r="AC14" s="426">
        <f>AC13*5%</f>
        <v>39.988201235547947</v>
      </c>
      <c r="AE14" s="472">
        <v>0.99</v>
      </c>
      <c r="AF14" s="282">
        <f t="shared" si="5"/>
        <v>1.0000000000000009E-2</v>
      </c>
      <c r="AG14" s="484">
        <f>((U14)*AE14)+Y14+AA14+AC14</f>
        <v>5027.7020683394949</v>
      </c>
      <c r="AH14" s="293">
        <f t="shared" si="6"/>
        <v>0.88256381559205055</v>
      </c>
      <c r="AI14" s="484">
        <f>(U14)*AF14</f>
        <v>49.910000000000089</v>
      </c>
      <c r="AJ14" s="487">
        <f t="shared" si="7"/>
        <v>9.529726545552021E-4</v>
      </c>
    </row>
    <row r="15" spans="1:36" s="88" customFormat="1" ht="17.55" thickBot="1" x14ac:dyDescent="0.3">
      <c r="A15" s="273" t="s">
        <v>179</v>
      </c>
      <c r="B15" s="385">
        <f>B13-B14</f>
        <v>9.6195199999999979</v>
      </c>
      <c r="C15" s="302">
        <f>D15*C10</f>
        <v>998199.99999999988</v>
      </c>
      <c r="D15" s="300">
        <f>1/2*B13</f>
        <v>6.1999999999999993</v>
      </c>
      <c r="E15" s="473">
        <v>0.55000000000000004</v>
      </c>
      <c r="F15" s="282">
        <f t="shared" si="9"/>
        <v>0.44999999999999996</v>
      </c>
      <c r="G15" s="291">
        <f t="shared" ref="G15" si="12">($C15)*E15</f>
        <v>549010</v>
      </c>
      <c r="H15" s="293">
        <f t="shared" si="8"/>
        <v>5.6889530708084468</v>
      </c>
      <c r="I15" s="291">
        <f t="shared" si="10"/>
        <v>449189.99999999988</v>
      </c>
      <c r="J15" s="293">
        <f t="shared" si="1"/>
        <v>6.9646800852836286</v>
      </c>
      <c r="K15" s="480">
        <f>K13</f>
        <v>21177.929049585004</v>
      </c>
      <c r="M15" s="480">
        <f>M13</f>
        <v>72950.201782737437</v>
      </c>
      <c r="O15" s="426">
        <f>O13</f>
        <v>1235876.1931219199</v>
      </c>
      <c r="P15" s="155"/>
      <c r="Q15" s="473">
        <v>0.8</v>
      </c>
      <c r="R15" s="282">
        <f t="shared" si="2"/>
        <v>0.19999999999999996</v>
      </c>
      <c r="S15" s="484">
        <f>(G15+O15)*Q15</f>
        <v>1427908.9544975359</v>
      </c>
      <c r="T15" s="293">
        <f t="shared" si="3"/>
        <v>31.729729442493369</v>
      </c>
      <c r="U15" s="484">
        <f>(G15+O15)*R15</f>
        <v>356977.23862438387</v>
      </c>
      <c r="V15" s="293">
        <f t="shared" si="4"/>
        <v>6.7622511116500696</v>
      </c>
      <c r="W15" s="484">
        <f t="shared" si="11"/>
        <v>94128.130832322437</v>
      </c>
      <c r="X15" s="293">
        <f t="shared" si="0"/>
        <v>351.54468848890264</v>
      </c>
      <c r="Y15" s="426">
        <f>Y13*95%</f>
        <v>0</v>
      </c>
      <c r="AA15" s="426">
        <f>AA13*95%</f>
        <v>885.85347497489499</v>
      </c>
      <c r="AC15" s="426">
        <f>AC13*95%</f>
        <v>759.7758234754109</v>
      </c>
      <c r="AE15" s="473">
        <v>0.99</v>
      </c>
      <c r="AF15" s="282">
        <f t="shared" si="5"/>
        <v>1.0000000000000009E-2</v>
      </c>
      <c r="AG15" s="484">
        <f>((U15)*AE15)+Y15+AA15+AC15</f>
        <v>355053.09553659032</v>
      </c>
      <c r="AH15" s="293">
        <f t="shared" si="6"/>
        <v>62.326090622556478</v>
      </c>
      <c r="AI15" s="484">
        <f>(U15)*AF15</f>
        <v>3569.772386243842</v>
      </c>
      <c r="AJ15" s="487">
        <f t="shared" si="7"/>
        <v>6.816059841868656E-2</v>
      </c>
    </row>
    <row r="16" spans="1:36" s="88" customFormat="1" ht="21.3" thickBot="1" x14ac:dyDescent="0.4">
      <c r="A16" s="272" t="s">
        <v>180</v>
      </c>
      <c r="B16" s="467">
        <v>18.600000000000001</v>
      </c>
      <c r="C16" s="303">
        <f>C17+C18</f>
        <v>2994600</v>
      </c>
      <c r="D16" s="301">
        <f>C16/C10</f>
        <v>18.600000000000001</v>
      </c>
      <c r="E16" s="419">
        <f>(I16/(C16))</f>
        <v>0.76950000000000007</v>
      </c>
      <c r="F16" s="282">
        <f t="shared" si="9"/>
        <v>0.23049999999999993</v>
      </c>
      <c r="G16" s="291">
        <f>G17+G18</f>
        <v>690255.3</v>
      </c>
      <c r="H16" s="293">
        <f t="shared" si="8"/>
        <v>7.1525655426618933</v>
      </c>
      <c r="I16" s="291">
        <f>I17+I18</f>
        <v>2304344.7000000002</v>
      </c>
      <c r="J16" s="293">
        <f t="shared" si="1"/>
        <v>35.728808837505028</v>
      </c>
      <c r="K16" s="481">
        <f>K17+K18</f>
        <v>0</v>
      </c>
      <c r="M16" s="481">
        <f>M17+M18</f>
        <v>0</v>
      </c>
      <c r="O16" s="422">
        <f>O17+O18</f>
        <v>0</v>
      </c>
      <c r="P16" s="155"/>
      <c r="Q16" s="419">
        <f>(S16/(G16+O16))</f>
        <v>0.91540130151843813</v>
      </c>
      <c r="R16" s="282">
        <f t="shared" si="2"/>
        <v>8.4598698481561874E-2</v>
      </c>
      <c r="S16" s="484">
        <f>S17+S18</f>
        <v>631860.6</v>
      </c>
      <c r="T16" s="293">
        <f t="shared" si="3"/>
        <v>14.040647213691889</v>
      </c>
      <c r="U16" s="484">
        <f>U17+U18</f>
        <v>58394.7</v>
      </c>
      <c r="V16" s="293">
        <f t="shared" si="4"/>
        <v>1.1061759189777638</v>
      </c>
      <c r="W16" s="484">
        <f>W17+W18</f>
        <v>0</v>
      </c>
      <c r="X16" s="293">
        <f t="shared" si="0"/>
        <v>0</v>
      </c>
      <c r="Y16" s="422">
        <f>Y17+Y18</f>
        <v>0</v>
      </c>
      <c r="AA16" s="422">
        <f>AA17+AA18</f>
        <v>0</v>
      </c>
      <c r="AC16" s="422">
        <f>AC17+AC18</f>
        <v>0</v>
      </c>
      <c r="AE16" s="419">
        <f>(AG16/(U16))</f>
        <v>1</v>
      </c>
      <c r="AF16" s="282">
        <f t="shared" si="5"/>
        <v>0</v>
      </c>
      <c r="AG16" s="484">
        <f>AG17+AG18</f>
        <v>58394.7</v>
      </c>
      <c r="AH16" s="293">
        <f t="shared" si="6"/>
        <v>10.25061718889288</v>
      </c>
      <c r="AI16" s="484">
        <f>AI17+AI18</f>
        <v>0</v>
      </c>
      <c r="AJ16" s="487">
        <f t="shared" si="7"/>
        <v>0</v>
      </c>
    </row>
    <row r="17" spans="1:36" s="88" customFormat="1" ht="17.55" thickBot="1" x14ac:dyDescent="0.3">
      <c r="A17" s="273" t="s">
        <v>181</v>
      </c>
      <c r="B17" s="265"/>
      <c r="C17" s="302">
        <f>D17*C10</f>
        <v>2126166</v>
      </c>
      <c r="D17" s="300">
        <f>71%*B16</f>
        <v>13.206</v>
      </c>
      <c r="E17" s="472">
        <v>0.1</v>
      </c>
      <c r="F17" s="282">
        <f t="shared" si="9"/>
        <v>0.9</v>
      </c>
      <c r="G17" s="291">
        <f t="shared" ref="G17:G18" si="13">($C17)*E17</f>
        <v>212616.6</v>
      </c>
      <c r="H17" s="293">
        <f t="shared" si="8"/>
        <v>2.2031763710585439</v>
      </c>
      <c r="I17" s="291">
        <f t="shared" ref="I17:I18" si="14">($C17)*F17</f>
        <v>1913549.4000000001</v>
      </c>
      <c r="J17" s="293">
        <f t="shared" si="1"/>
        <v>29.66953716330827</v>
      </c>
      <c r="K17" s="481">
        <v>0</v>
      </c>
      <c r="M17" s="481">
        <v>0</v>
      </c>
      <c r="O17" s="422">
        <v>0</v>
      </c>
      <c r="P17" s="155"/>
      <c r="Q17" s="472">
        <v>0.95</v>
      </c>
      <c r="R17" s="282">
        <f t="shared" si="2"/>
        <v>5.0000000000000044E-2</v>
      </c>
      <c r="S17" s="484">
        <f>(G17+O17)*Q17</f>
        <v>201985.77</v>
      </c>
      <c r="T17" s="293">
        <f t="shared" si="3"/>
        <v>4.4883490737607481</v>
      </c>
      <c r="U17" s="484">
        <f>(G17+O17)*R17</f>
        <v>10630.830000000009</v>
      </c>
      <c r="V17" s="293">
        <f t="shared" si="4"/>
        <v>0.20138074422415717</v>
      </c>
      <c r="W17" s="484">
        <f>(K17+M17)</f>
        <v>0</v>
      </c>
      <c r="X17" s="293">
        <f t="shared" si="0"/>
        <v>0</v>
      </c>
      <c r="Y17" s="422">
        <v>0</v>
      </c>
      <c r="AA17" s="422">
        <v>0</v>
      </c>
      <c r="AC17" s="422">
        <v>0</v>
      </c>
      <c r="AE17" s="472">
        <v>1</v>
      </c>
      <c r="AF17" s="282">
        <f t="shared" si="5"/>
        <v>0</v>
      </c>
      <c r="AG17" s="484">
        <f>((U17)*AE17)+Y17+AA17+AC17</f>
        <v>10630.830000000009</v>
      </c>
      <c r="AH17" s="293">
        <f t="shared" si="6"/>
        <v>1.8661380010548594</v>
      </c>
      <c r="AI17" s="484">
        <f>(U17)*AF17</f>
        <v>0</v>
      </c>
      <c r="AJ17" s="487">
        <f t="shared" si="7"/>
        <v>0</v>
      </c>
    </row>
    <row r="18" spans="1:36" s="88" customFormat="1" ht="17.55" thickBot="1" x14ac:dyDescent="0.3">
      <c r="A18" s="272" t="s">
        <v>182</v>
      </c>
      <c r="B18" s="265"/>
      <c r="C18" s="302">
        <f>D18*C10</f>
        <v>868434</v>
      </c>
      <c r="D18" s="300">
        <f>29%*B16</f>
        <v>5.3940000000000001</v>
      </c>
      <c r="E18" s="473">
        <v>0.55000000000000004</v>
      </c>
      <c r="F18" s="282">
        <f t="shared" si="9"/>
        <v>0.44999999999999996</v>
      </c>
      <c r="G18" s="291">
        <f t="shared" si="13"/>
        <v>477638.7</v>
      </c>
      <c r="H18" s="293">
        <f t="shared" si="8"/>
        <v>4.9493891716033493</v>
      </c>
      <c r="I18" s="291">
        <f t="shared" si="14"/>
        <v>390795.3</v>
      </c>
      <c r="J18" s="293">
        <f t="shared" si="1"/>
        <v>6.0592716741967587</v>
      </c>
      <c r="K18" s="481">
        <v>0</v>
      </c>
      <c r="M18" s="481">
        <v>0</v>
      </c>
      <c r="O18" s="422">
        <v>0</v>
      </c>
      <c r="P18" s="155"/>
      <c r="Q18" s="473">
        <v>0.9</v>
      </c>
      <c r="R18" s="282">
        <f t="shared" si="2"/>
        <v>9.9999999999999978E-2</v>
      </c>
      <c r="S18" s="484">
        <f>(G18+O18)*Q18</f>
        <v>429874.83</v>
      </c>
      <c r="T18" s="293">
        <f t="shared" si="3"/>
        <v>9.5522981399311409</v>
      </c>
      <c r="U18" s="484">
        <f>(G18+O18)*R18</f>
        <v>47763.869999999988</v>
      </c>
      <c r="V18" s="293">
        <f t="shared" si="4"/>
        <v>0.9047951747536066</v>
      </c>
      <c r="W18" s="484">
        <f>(K18+M18)</f>
        <v>0</v>
      </c>
      <c r="X18" s="293">
        <f t="shared" si="0"/>
        <v>0</v>
      </c>
      <c r="Y18" s="422">
        <v>0</v>
      </c>
      <c r="AA18" s="422">
        <v>0</v>
      </c>
      <c r="AC18" s="422">
        <v>0</v>
      </c>
      <c r="AE18" s="473">
        <v>1</v>
      </c>
      <c r="AF18" s="282">
        <f t="shared" si="5"/>
        <v>0</v>
      </c>
      <c r="AG18" s="484">
        <f>((U18)*AE18)+Y18+AA18+AC18</f>
        <v>47763.869999999988</v>
      </c>
      <c r="AH18" s="293">
        <f t="shared" si="6"/>
        <v>8.3844791878380214</v>
      </c>
      <c r="AI18" s="484">
        <f>(U18)*AF18</f>
        <v>0</v>
      </c>
      <c r="AJ18" s="487">
        <f t="shared" si="7"/>
        <v>0</v>
      </c>
    </row>
    <row r="19" spans="1:36" s="88" customFormat="1" ht="21.3" thickBot="1" x14ac:dyDescent="0.4">
      <c r="A19" s="273" t="s">
        <v>183</v>
      </c>
      <c r="B19" s="295">
        <v>5.3</v>
      </c>
      <c r="C19" s="303">
        <f>C20+C23</f>
        <v>853299.99999999988</v>
      </c>
      <c r="D19" s="299">
        <f>C19/C10</f>
        <v>5.2999999999999989</v>
      </c>
      <c r="E19" s="419">
        <f>(I19/(C19))</f>
        <v>0.51784349553128106</v>
      </c>
      <c r="F19" s="282">
        <f t="shared" si="9"/>
        <v>0.48215650446871894</v>
      </c>
      <c r="G19" s="291">
        <f>G20+G23</f>
        <v>411424.1452631579</v>
      </c>
      <c r="H19" s="293">
        <f t="shared" si="8"/>
        <v>4.2632605136510859</v>
      </c>
      <c r="I19" s="291">
        <f>I20+I23</f>
        <v>441875.8547368421</v>
      </c>
      <c r="J19" s="293">
        <f t="shared" si="1"/>
        <v>6.8512744398881686</v>
      </c>
      <c r="K19" s="481">
        <v>0</v>
      </c>
      <c r="M19" s="481">
        <v>0</v>
      </c>
      <c r="O19" s="422">
        <v>0</v>
      </c>
      <c r="P19" s="154"/>
      <c r="Q19" s="419">
        <f>(S19/(G19+O19))</f>
        <v>0.9054740906668074</v>
      </c>
      <c r="R19" s="282">
        <f t="shared" si="2"/>
        <v>9.4525909333192604E-2</v>
      </c>
      <c r="S19" s="484">
        <f>S20+S23</f>
        <v>372533.90381052636</v>
      </c>
      <c r="T19" s="293">
        <f t="shared" si="3"/>
        <v>8.2781188106095378</v>
      </c>
      <c r="U19" s="484">
        <f>U20+U23</f>
        <v>38890.241452631577</v>
      </c>
      <c r="V19" s="293">
        <f t="shared" si="4"/>
        <v>0.73670125162269628</v>
      </c>
      <c r="W19" s="484">
        <f>W20+W23</f>
        <v>0</v>
      </c>
      <c r="X19" s="293">
        <f t="shared" si="0"/>
        <v>0</v>
      </c>
      <c r="Y19" s="422">
        <v>0</v>
      </c>
      <c r="AA19" s="422">
        <v>0</v>
      </c>
      <c r="AC19" s="422">
        <v>0</v>
      </c>
      <c r="AE19" s="419">
        <f>(AG19/(U19))</f>
        <v>0.99944368179096976</v>
      </c>
      <c r="AF19" s="282">
        <f t="shared" si="5"/>
        <v>5.5631820903023765E-4</v>
      </c>
      <c r="AG19" s="484">
        <f>AG20+AG23</f>
        <v>38868.606103157894</v>
      </c>
      <c r="AH19" s="293">
        <f t="shared" si="6"/>
        <v>6.823002803838996</v>
      </c>
      <c r="AI19" s="484">
        <f>AI20+AI23</f>
        <v>21.635349473682083</v>
      </c>
      <c r="AJ19" s="487">
        <f t="shared" si="7"/>
        <v>4.1310151112330744E-4</v>
      </c>
    </row>
    <row r="20" spans="1:36" s="88" customFormat="1" ht="17.55" thickBot="1" x14ac:dyDescent="0.3">
      <c r="A20" s="272" t="s">
        <v>184</v>
      </c>
      <c r="B20" s="265">
        <f>D22/0.95</f>
        <v>4.2105263157894735</v>
      </c>
      <c r="C20" s="303">
        <f>C21+C22</f>
        <v>677894.73684210517</v>
      </c>
      <c r="D20" s="296">
        <f>C20/C10</f>
        <v>4.2105263157894735</v>
      </c>
      <c r="E20" s="419">
        <f>(I20/(C20))</f>
        <v>0.42900000000000005</v>
      </c>
      <c r="F20" s="282">
        <f t="shared" si="9"/>
        <v>0.57099999999999995</v>
      </c>
      <c r="G20" s="291">
        <f>G21+G22</f>
        <v>387077.89473684208</v>
      </c>
      <c r="H20" s="293">
        <f t="shared" si="8"/>
        <v>4.0109797233296778</v>
      </c>
      <c r="I20" s="291">
        <f>I21+I22</f>
        <v>290816.84210526315</v>
      </c>
      <c r="J20" s="293">
        <f t="shared" si="1"/>
        <v>4.5091081027529558</v>
      </c>
      <c r="K20" s="481">
        <v>0</v>
      </c>
      <c r="M20" s="481">
        <v>0</v>
      </c>
      <c r="O20" s="422">
        <v>0</v>
      </c>
      <c r="P20" s="155"/>
      <c r="Q20" s="419">
        <f>(S20/(G20+O20))</f>
        <v>0.90015761821366036</v>
      </c>
      <c r="R20" s="282">
        <f t="shared" si="2"/>
        <v>9.984238178633964E-2</v>
      </c>
      <c r="S20" s="484">
        <f>S21+S22</f>
        <v>348431.1157894737</v>
      </c>
      <c r="T20" s="293">
        <f t="shared" si="3"/>
        <v>7.7425279801795357</v>
      </c>
      <c r="U20" s="484">
        <f>U21+U22</f>
        <v>38646.778947368417</v>
      </c>
      <c r="V20" s="293">
        <f t="shared" si="4"/>
        <v>0.73208932005191829</v>
      </c>
      <c r="W20" s="484">
        <f>W21+W22</f>
        <v>0</v>
      </c>
      <c r="X20" s="293">
        <f t="shared" si="0"/>
        <v>0</v>
      </c>
      <c r="Y20" s="422">
        <v>0</v>
      </c>
      <c r="AA20" s="422">
        <v>0</v>
      </c>
      <c r="AC20" s="422">
        <v>0</v>
      </c>
      <c r="AE20" s="419">
        <f>(AG20/(U20))</f>
        <v>0.99950008770391163</v>
      </c>
      <c r="AF20" s="282">
        <f t="shared" si="5"/>
        <v>4.9991229608836729E-4</v>
      </c>
      <c r="AG20" s="484">
        <f>AG21+AG22</f>
        <v>38627.458947368417</v>
      </c>
      <c r="AH20" s="293">
        <f t="shared" si="6"/>
        <v>6.7806717844110649</v>
      </c>
      <c r="AI20" s="484">
        <f>AI21+AI22</f>
        <v>19.319999999997869</v>
      </c>
      <c r="AJ20" s="487">
        <f t="shared" si="7"/>
        <v>3.688926404729401E-4</v>
      </c>
    </row>
    <row r="21" spans="1:36" s="88" customFormat="1" ht="17.55" thickBot="1" x14ac:dyDescent="0.3">
      <c r="A21" s="273" t="s">
        <v>185</v>
      </c>
      <c r="B21" s="265"/>
      <c r="C21" s="303">
        <f>D21*C10</f>
        <v>33894.736842105223</v>
      </c>
      <c r="D21" s="296">
        <f>B20-D22</f>
        <v>0.21052631578947345</v>
      </c>
      <c r="E21" s="473">
        <v>0.02</v>
      </c>
      <c r="F21" s="282">
        <f t="shared" si="9"/>
        <v>0.98</v>
      </c>
      <c r="G21" s="291">
        <f t="shared" ref="G21:G22" si="15">($C21)*E21</f>
        <v>677.89473684210452</v>
      </c>
      <c r="H21" s="293">
        <f t="shared" si="8"/>
        <v>7.024482877985419E-3</v>
      </c>
      <c r="I21" s="291">
        <f t="shared" ref="I21:I22" si="16">($C21)*F21</f>
        <v>33216.842105263117</v>
      </c>
      <c r="J21" s="293">
        <f t="shared" si="1"/>
        <v>0.51502633341467263</v>
      </c>
      <c r="K21" s="481">
        <v>0</v>
      </c>
      <c r="L21" s="154"/>
      <c r="M21" s="481">
        <v>0</v>
      </c>
      <c r="O21" s="422">
        <v>0</v>
      </c>
      <c r="P21" s="154"/>
      <c r="Q21" s="473">
        <v>0.99</v>
      </c>
      <c r="R21" s="282">
        <f t="shared" si="2"/>
        <v>1.0000000000000009E-2</v>
      </c>
      <c r="S21" s="484">
        <f>(G21+O21)*Q21</f>
        <v>671.11578947368344</v>
      </c>
      <c r="T21" s="293">
        <f t="shared" si="3"/>
        <v>1.4912941303094868E-2</v>
      </c>
      <c r="U21" s="484">
        <f>(G21+O21)*R21</f>
        <v>6.7789473684210515</v>
      </c>
      <c r="V21" s="293">
        <f t="shared" si="4"/>
        <v>1.2841419401015932E-4</v>
      </c>
      <c r="W21" s="484">
        <f>(K21+M21)</f>
        <v>0</v>
      </c>
      <c r="X21" s="293">
        <f t="shared" si="0"/>
        <v>0</v>
      </c>
      <c r="Y21" s="422">
        <v>0</v>
      </c>
      <c r="AA21" s="422">
        <v>0</v>
      </c>
      <c r="AC21" s="422">
        <v>0</v>
      </c>
      <c r="AE21" s="473">
        <v>1</v>
      </c>
      <c r="AF21" s="282">
        <f t="shared" si="5"/>
        <v>0</v>
      </c>
      <c r="AG21" s="484">
        <f>((U21)*AE21)+Y21+AA21+AC21</f>
        <v>6.7789473684210515</v>
      </c>
      <c r="AH21" s="293">
        <f t="shared" si="6"/>
        <v>1.1899777619773196E-3</v>
      </c>
      <c r="AI21" s="484">
        <f>(U21)*AF21</f>
        <v>0</v>
      </c>
      <c r="AJ21" s="487">
        <f t="shared" si="7"/>
        <v>0</v>
      </c>
    </row>
    <row r="22" spans="1:36" s="88" customFormat="1" ht="21.3" thickBot="1" x14ac:dyDescent="0.4">
      <c r="A22" s="272" t="s">
        <v>186</v>
      </c>
      <c r="B22" s="295">
        <v>4</v>
      </c>
      <c r="C22" s="302">
        <f>D22*C10</f>
        <v>644000</v>
      </c>
      <c r="D22" s="299">
        <f>B22</f>
        <v>4</v>
      </c>
      <c r="E22" s="474">
        <v>0.6</v>
      </c>
      <c r="F22" s="282">
        <f t="shared" si="9"/>
        <v>0.4</v>
      </c>
      <c r="G22" s="291">
        <f t="shared" si="15"/>
        <v>386400</v>
      </c>
      <c r="H22" s="293">
        <f t="shared" si="8"/>
        <v>4.0039552404516927</v>
      </c>
      <c r="I22" s="291">
        <f t="shared" si="16"/>
        <v>257600</v>
      </c>
      <c r="J22" s="293">
        <f t="shared" si="1"/>
        <v>3.9940817693382829</v>
      </c>
      <c r="K22" s="481">
        <v>0</v>
      </c>
      <c r="L22" s="154"/>
      <c r="M22" s="481">
        <v>0</v>
      </c>
      <c r="O22" s="422">
        <v>0</v>
      </c>
      <c r="P22" s="154"/>
      <c r="Q22" s="474">
        <v>0.9</v>
      </c>
      <c r="R22" s="282">
        <f t="shared" si="2"/>
        <v>9.9999999999999978E-2</v>
      </c>
      <c r="S22" s="484">
        <f>(G22+O22)*Q22</f>
        <v>347760</v>
      </c>
      <c r="T22" s="293">
        <f t="shared" si="3"/>
        <v>7.7276150388764409</v>
      </c>
      <c r="U22" s="484">
        <f>(G22+O22)*R22</f>
        <v>38639.999999999993</v>
      </c>
      <c r="V22" s="293">
        <f t="shared" si="4"/>
        <v>0.73196090585790807</v>
      </c>
      <c r="W22" s="484">
        <f>(K22+M22)</f>
        <v>0</v>
      </c>
      <c r="X22" s="293">
        <f t="shared" si="0"/>
        <v>0</v>
      </c>
      <c r="Y22" s="422">
        <v>0</v>
      </c>
      <c r="AA22" s="422">
        <v>0</v>
      </c>
      <c r="AC22" s="422">
        <v>0</v>
      </c>
      <c r="AE22" s="474">
        <v>0.99950000000000006</v>
      </c>
      <c r="AF22" s="282">
        <f t="shared" si="5"/>
        <v>4.9999999999994493E-4</v>
      </c>
      <c r="AG22" s="484">
        <f>((U22)*AE22)+Y22+AA22+AC22</f>
        <v>38620.679999999993</v>
      </c>
      <c r="AH22" s="293">
        <f t="shared" si="6"/>
        <v>6.7794818066490867</v>
      </c>
      <c r="AI22" s="484">
        <f>(U22)*AF22</f>
        <v>19.319999999997869</v>
      </c>
      <c r="AJ22" s="487">
        <f t="shared" si="7"/>
        <v>3.688926404729401E-4</v>
      </c>
    </row>
    <row r="23" spans="1:36" s="88" customFormat="1" ht="17.55" thickBot="1" x14ac:dyDescent="0.3">
      <c r="A23" s="273" t="s">
        <v>187</v>
      </c>
      <c r="B23" s="265">
        <f>B19-B20</f>
        <v>1.0894736842105264</v>
      </c>
      <c r="C23" s="303">
        <f>C24+C25</f>
        <v>175405.26315789475</v>
      </c>
      <c r="D23" s="296">
        <f>C23/C10</f>
        <v>1.0894736842105264</v>
      </c>
      <c r="E23" s="419">
        <f>(I23/(C23))</f>
        <v>0.86119999999999997</v>
      </c>
      <c r="F23" s="282">
        <f t="shared" si="9"/>
        <v>0.13880000000000003</v>
      </c>
      <c r="G23" s="291">
        <f>G24+G25</f>
        <v>24346.250526315795</v>
      </c>
      <c r="H23" s="293">
        <f t="shared" si="8"/>
        <v>0.25228079032140766</v>
      </c>
      <c r="I23" s="291">
        <f>I24+I25</f>
        <v>151059.01263157895</v>
      </c>
      <c r="J23" s="293">
        <f t="shared" si="1"/>
        <v>2.3421663371352128</v>
      </c>
      <c r="K23" s="481">
        <v>0</v>
      </c>
      <c r="L23" s="154"/>
      <c r="M23" s="481">
        <v>0</v>
      </c>
      <c r="O23" s="422">
        <v>0</v>
      </c>
      <c r="P23" s="154"/>
      <c r="Q23" s="419">
        <f>(S23/(G23+O23))</f>
        <v>0.98999999999999988</v>
      </c>
      <c r="R23" s="282">
        <f t="shared" si="2"/>
        <v>1.000000000000012E-2</v>
      </c>
      <c r="S23" s="484">
        <f>S24+S25</f>
        <v>24102.788021052635</v>
      </c>
      <c r="T23" s="293">
        <f t="shared" si="3"/>
        <v>0.53559083043000133</v>
      </c>
      <c r="U23" s="484">
        <f>U24+U25</f>
        <v>243.46250526315814</v>
      </c>
      <c r="V23" s="293">
        <f t="shared" si="4"/>
        <v>4.6119315707778726E-3</v>
      </c>
      <c r="W23" s="484">
        <f>W24+W25</f>
        <v>0</v>
      </c>
      <c r="X23" s="293">
        <f t="shared" si="0"/>
        <v>0</v>
      </c>
      <c r="Y23" s="422">
        <v>0</v>
      </c>
      <c r="AA23" s="422">
        <v>0</v>
      </c>
      <c r="AC23" s="422">
        <v>0</v>
      </c>
      <c r="AE23" s="419">
        <f>(AG23/(U23))</f>
        <v>0.99048991354466853</v>
      </c>
      <c r="AF23" s="282">
        <f t="shared" si="5"/>
        <v>9.5100864553314679E-3</v>
      </c>
      <c r="AG23" s="484">
        <f>AG24+AG25</f>
        <v>241.14715578947391</v>
      </c>
      <c r="AH23" s="294">
        <f t="shared" si="6"/>
        <v>4.2331019427931139E-2</v>
      </c>
      <c r="AI23" s="484">
        <f>AI24+AI25</f>
        <v>2.3153494736842148</v>
      </c>
      <c r="AJ23" s="487">
        <f t="shared" si="7"/>
        <v>4.4208870650367307E-5</v>
      </c>
    </row>
    <row r="24" spans="1:36" s="88" customFormat="1" ht="17.55" thickBot="1" x14ac:dyDescent="0.3">
      <c r="A24" s="272" t="s">
        <v>188</v>
      </c>
      <c r="B24" s="265"/>
      <c r="C24" s="302">
        <f>D24*C10</f>
        <v>59637.789473684214</v>
      </c>
      <c r="D24" s="298">
        <f>0.34*B23</f>
        <v>0.37042105263157898</v>
      </c>
      <c r="E24" s="472">
        <v>0.02</v>
      </c>
      <c r="F24" s="282">
        <f t="shared" si="9"/>
        <v>0.98</v>
      </c>
      <c r="G24" s="291">
        <f t="shared" ref="G24:G25" si="17">($C24)*E24</f>
        <v>1192.7557894736842</v>
      </c>
      <c r="H24" s="293">
        <f t="shared" si="8"/>
        <v>1.2359577623815357E-2</v>
      </c>
      <c r="I24" s="291">
        <f t="shared" ref="I24:I25" si="18">($C24)*F24</f>
        <v>58445.033684210532</v>
      </c>
      <c r="J24" s="293">
        <f t="shared" si="1"/>
        <v>0.90618883364311775</v>
      </c>
      <c r="K24" s="481">
        <v>0</v>
      </c>
      <c r="L24" s="155"/>
      <c r="M24" s="481">
        <v>0</v>
      </c>
      <c r="N24" s="155"/>
      <c r="O24" s="422">
        <v>0</v>
      </c>
      <c r="P24" s="155"/>
      <c r="Q24" s="472">
        <v>0.99</v>
      </c>
      <c r="R24" s="282">
        <f t="shared" si="2"/>
        <v>1.0000000000000009E-2</v>
      </c>
      <c r="S24" s="484">
        <f>(G24+O24)*Q24</f>
        <v>1180.8282315789475</v>
      </c>
      <c r="T24" s="293">
        <f t="shared" si="3"/>
        <v>2.6239320222795452E-2</v>
      </c>
      <c r="U24" s="484">
        <f>(G24+O24)*R24</f>
        <v>11.927557894736852</v>
      </c>
      <c r="V24" s="293">
        <f t="shared" si="4"/>
        <v>2.2594477436087556E-4</v>
      </c>
      <c r="W24" s="484">
        <f>(K24+M24)</f>
        <v>0</v>
      </c>
      <c r="X24" s="293">
        <f t="shared" si="0"/>
        <v>0</v>
      </c>
      <c r="Y24" s="422">
        <v>0</v>
      </c>
      <c r="AA24" s="422">
        <v>0</v>
      </c>
      <c r="AC24" s="422">
        <v>0</v>
      </c>
      <c r="AE24" s="472">
        <v>1</v>
      </c>
      <c r="AF24" s="282">
        <f t="shared" si="5"/>
        <v>0</v>
      </c>
      <c r="AG24" s="484">
        <f>((U24)*AE24)+Y24+AA24+AC24</f>
        <v>11.927557894736852</v>
      </c>
      <c r="AH24" s="294">
        <f t="shared" si="6"/>
        <v>2.093765872199096E-3</v>
      </c>
      <c r="AI24" s="484">
        <f>(U24)*AF24</f>
        <v>0</v>
      </c>
      <c r="AJ24" s="487">
        <f t="shared" si="7"/>
        <v>0</v>
      </c>
    </row>
    <row r="25" spans="1:36" s="88" customFormat="1" ht="17.55" thickBot="1" x14ac:dyDescent="0.3">
      <c r="A25" s="273" t="s">
        <v>189</v>
      </c>
      <c r="B25" s="265"/>
      <c r="C25" s="302">
        <f>D25*C10</f>
        <v>115767.47368421053</v>
      </c>
      <c r="D25" s="298">
        <f>0.66*B23</f>
        <v>0.71905263157894739</v>
      </c>
      <c r="E25" s="472">
        <v>0.2</v>
      </c>
      <c r="F25" s="282">
        <f t="shared" si="9"/>
        <v>0.8</v>
      </c>
      <c r="G25" s="291">
        <f t="shared" si="17"/>
        <v>23153.494736842109</v>
      </c>
      <c r="H25" s="293">
        <f t="shared" si="8"/>
        <v>0.23992121269759228</v>
      </c>
      <c r="I25" s="291">
        <f t="shared" si="18"/>
        <v>92613.978947368436</v>
      </c>
      <c r="J25" s="293">
        <f t="shared" si="1"/>
        <v>1.4359775034920954</v>
      </c>
      <c r="K25" s="481">
        <v>0</v>
      </c>
      <c r="L25" s="155"/>
      <c r="M25" s="481">
        <v>0</v>
      </c>
      <c r="N25" s="155"/>
      <c r="O25" s="422">
        <v>0</v>
      </c>
      <c r="P25" s="155"/>
      <c r="Q25" s="472">
        <v>0.99</v>
      </c>
      <c r="R25" s="282">
        <f t="shared" si="2"/>
        <v>1.0000000000000009E-2</v>
      </c>
      <c r="S25" s="484">
        <f>(G25+O25)*Q25</f>
        <v>22921.959789473687</v>
      </c>
      <c r="T25" s="293">
        <f t="shared" si="3"/>
        <v>0.50935151020720593</v>
      </c>
      <c r="U25" s="484">
        <f>(G25+O25)*R25</f>
        <v>231.53494736842129</v>
      </c>
      <c r="V25" s="293">
        <f t="shared" si="4"/>
        <v>4.3859867964169972E-3</v>
      </c>
      <c r="W25" s="484">
        <f>(K25+M25)</f>
        <v>0</v>
      </c>
      <c r="X25" s="293">
        <f t="shared" si="0"/>
        <v>0</v>
      </c>
      <c r="Y25" s="422">
        <v>0</v>
      </c>
      <c r="AA25" s="422">
        <v>0</v>
      </c>
      <c r="AC25" s="422">
        <v>0</v>
      </c>
      <c r="AE25" s="472">
        <v>0.99</v>
      </c>
      <c r="AF25" s="282">
        <f t="shared" si="5"/>
        <v>1.0000000000000009E-2</v>
      </c>
      <c r="AG25" s="484">
        <f>((U25)*AE25)+Y25+AA25+AC25</f>
        <v>229.21959789473706</v>
      </c>
      <c r="AH25" s="294">
        <f t="shared" si="6"/>
        <v>4.0237253555732044E-2</v>
      </c>
      <c r="AI25" s="484">
        <f>(U25)*AF25</f>
        <v>2.3153494736842148</v>
      </c>
      <c r="AJ25" s="487">
        <f t="shared" si="7"/>
        <v>4.4208870650367307E-5</v>
      </c>
    </row>
    <row r="26" spans="1:36" s="88" customFormat="1" ht="21.3" thickBot="1" x14ac:dyDescent="0.4">
      <c r="A26" s="272" t="s">
        <v>190</v>
      </c>
      <c r="B26" s="295">
        <v>0.3</v>
      </c>
      <c r="C26" s="303">
        <f>C27+C30</f>
        <v>48300</v>
      </c>
      <c r="D26" s="299">
        <f>C26/C10</f>
        <v>0.3</v>
      </c>
      <c r="E26" s="419">
        <f>(I26/(C26))</f>
        <v>0.8295800000000001</v>
      </c>
      <c r="F26" s="282">
        <f t="shared" si="9"/>
        <v>0.1704199999999999</v>
      </c>
      <c r="G26" s="291">
        <f>G27+G30</f>
        <v>8231.2860000000001</v>
      </c>
      <c r="H26" s="293">
        <f t="shared" si="8"/>
        <v>8.5294256509722194E-2</v>
      </c>
      <c r="I26" s="291">
        <f>I27+I30</f>
        <v>40068.714000000007</v>
      </c>
      <c r="J26" s="293">
        <f t="shared" si="1"/>
        <v>0.621264441413935</v>
      </c>
      <c r="K26" s="481">
        <v>0</v>
      </c>
      <c r="L26" s="154"/>
      <c r="M26" s="481">
        <v>0</v>
      </c>
      <c r="N26" s="154"/>
      <c r="O26" s="422">
        <v>0</v>
      </c>
      <c r="P26" s="154"/>
      <c r="Q26" s="419">
        <f>(S26/(G26+O26))</f>
        <v>0.98369088135195404</v>
      </c>
      <c r="R26" s="282">
        <f t="shared" si="2"/>
        <v>1.6309118648045962E-2</v>
      </c>
      <c r="S26" s="484">
        <f>S27+S30</f>
        <v>8097.0409800000007</v>
      </c>
      <c r="T26" s="293">
        <f t="shared" si="3"/>
        <v>0.17992528078975972</v>
      </c>
      <c r="U26" s="484">
        <f>U27+U30</f>
        <v>134.24502000000012</v>
      </c>
      <c r="V26" s="293">
        <f t="shared" si="4"/>
        <v>2.5430151771768401E-3</v>
      </c>
      <c r="W26" s="484">
        <f>W27+W30</f>
        <v>0</v>
      </c>
      <c r="X26" s="293">
        <f t="shared" si="0"/>
        <v>0</v>
      </c>
      <c r="Y26" s="422">
        <v>0</v>
      </c>
      <c r="AA26" s="422">
        <v>0</v>
      </c>
      <c r="AC26" s="422">
        <v>0</v>
      </c>
      <c r="AE26" s="419">
        <f>(AG26/(U26))</f>
        <v>0.95297752752392595</v>
      </c>
      <c r="AF26" s="282">
        <f t="shared" si="5"/>
        <v>4.7022472476074051E-2</v>
      </c>
      <c r="AG26" s="484">
        <f>AG27+AG30</f>
        <v>127.93248724200011</v>
      </c>
      <c r="AH26" s="294">
        <f t="shared" si="6"/>
        <v>2.2457294116429497E-2</v>
      </c>
      <c r="AI26" s="484">
        <f>AI27+AI30</f>
        <v>6.3125327580000112</v>
      </c>
      <c r="AJ26" s="487">
        <f t="shared" si="7"/>
        <v>1.2053037666515591E-4</v>
      </c>
    </row>
    <row r="27" spans="1:36" s="88" customFormat="1" ht="17.55" thickBot="1" x14ac:dyDescent="0.3">
      <c r="A27" s="273" t="s">
        <v>191</v>
      </c>
      <c r="B27" s="384">
        <f>$B$26*0.08</f>
        <v>2.4E-2</v>
      </c>
      <c r="C27" s="303">
        <f>C28+C29</f>
        <v>3864</v>
      </c>
      <c r="D27" s="296">
        <f>C27/C10</f>
        <v>2.4E-2</v>
      </c>
      <c r="E27" s="419">
        <f>(I27/(C27))</f>
        <v>0.63500000000000001</v>
      </c>
      <c r="F27" s="282">
        <f t="shared" si="9"/>
        <v>0.36499999999999999</v>
      </c>
      <c r="G27" s="291">
        <f>G28+G29</f>
        <v>1410.3600000000001</v>
      </c>
      <c r="H27" s="293">
        <f t="shared" si="8"/>
        <v>1.4614436627648681E-2</v>
      </c>
      <c r="I27" s="291">
        <f>I28+I29</f>
        <v>2453.64</v>
      </c>
      <c r="J27" s="293">
        <f t="shared" si="1"/>
        <v>3.8043628852947139E-2</v>
      </c>
      <c r="K27" s="481">
        <v>0</v>
      </c>
      <c r="L27" s="155"/>
      <c r="M27" s="481">
        <v>0</v>
      </c>
      <c r="N27" s="155"/>
      <c r="O27" s="422">
        <v>0</v>
      </c>
      <c r="P27" s="155"/>
      <c r="Q27" s="419">
        <f>(S27/(G27+O27))</f>
        <v>0.95317808219178068</v>
      </c>
      <c r="R27" s="282">
        <f t="shared" si="2"/>
        <v>4.6821917808219315E-2</v>
      </c>
      <c r="S27" s="484">
        <f>S28+S29</f>
        <v>1344.3242399999999</v>
      </c>
      <c r="T27" s="293">
        <f t="shared" si="3"/>
        <v>2.9872383868616691E-2</v>
      </c>
      <c r="U27" s="484">
        <f>U28+U29</f>
        <v>66.035760000000053</v>
      </c>
      <c r="V27" s="293">
        <f t="shared" si="4"/>
        <v>1.2509211881111663E-3</v>
      </c>
      <c r="W27" s="484">
        <f>W28+W29</f>
        <v>0</v>
      </c>
      <c r="X27" s="293">
        <f t="shared" si="0"/>
        <v>0</v>
      </c>
      <c r="Y27" s="422">
        <v>0</v>
      </c>
      <c r="AA27" s="422">
        <v>0</v>
      </c>
      <c r="AC27" s="422">
        <v>0</v>
      </c>
      <c r="AE27" s="419">
        <f>(AG27/(U27))</f>
        <v>0.95084844938560564</v>
      </c>
      <c r="AF27" s="282">
        <f t="shared" si="5"/>
        <v>4.9151550614394357E-2</v>
      </c>
      <c r="AG27" s="484">
        <f>AG28+AG29</f>
        <v>62.790000000000049</v>
      </c>
      <c r="AH27" s="294">
        <f t="shared" si="6"/>
        <v>1.1022169020314934E-2</v>
      </c>
      <c r="AI27" s="484">
        <f>AI28+AI29</f>
        <v>3.2457600000000055</v>
      </c>
      <c r="AJ27" s="487">
        <f t="shared" si="7"/>
        <v>6.1973963599460882E-5</v>
      </c>
    </row>
    <row r="28" spans="1:36" s="88" customFormat="1" ht="17.55" thickBot="1" x14ac:dyDescent="0.3">
      <c r="A28" s="272" t="s">
        <v>192</v>
      </c>
      <c r="B28" s="385">
        <f>B27*0.58</f>
        <v>1.392E-2</v>
      </c>
      <c r="C28" s="303">
        <f>D28*C10</f>
        <v>2241.12</v>
      </c>
      <c r="D28" s="296">
        <f>B28</f>
        <v>1.392E-2</v>
      </c>
      <c r="E28" s="472">
        <v>0.05</v>
      </c>
      <c r="F28" s="282">
        <f t="shared" si="9"/>
        <v>0.95</v>
      </c>
      <c r="G28" s="291">
        <f t="shared" ref="G28:G29" si="19">($C28)*E28</f>
        <v>112.056</v>
      </c>
      <c r="H28" s="293">
        <f t="shared" si="8"/>
        <v>1.1611470197309909E-3</v>
      </c>
      <c r="I28" s="291">
        <f t="shared" ref="I28:I29" si="20">($C28)*F28</f>
        <v>2129.0639999999999</v>
      </c>
      <c r="J28" s="293">
        <f t="shared" si="1"/>
        <v>3.3011085823580907E-2</v>
      </c>
      <c r="K28" s="481">
        <v>0</v>
      </c>
      <c r="L28" s="155"/>
      <c r="M28" s="481">
        <v>0</v>
      </c>
      <c r="N28" s="155"/>
      <c r="O28" s="422">
        <v>0</v>
      </c>
      <c r="P28" s="155"/>
      <c r="Q28" s="472">
        <v>0.99</v>
      </c>
      <c r="R28" s="282">
        <f t="shared" si="2"/>
        <v>1.0000000000000009E-2</v>
      </c>
      <c r="S28" s="484">
        <f>(G28+O28)*Q28</f>
        <v>110.93544</v>
      </c>
      <c r="T28" s="293">
        <f t="shared" si="3"/>
        <v>2.4651091974015847E-3</v>
      </c>
      <c r="U28" s="484">
        <f>(G28+O28)*R28</f>
        <v>1.1205600000000009</v>
      </c>
      <c r="V28" s="293">
        <f t="shared" si="4"/>
        <v>2.1226866269879356E-5</v>
      </c>
      <c r="W28" s="484">
        <f>(K28+M28)</f>
        <v>0</v>
      </c>
      <c r="X28" s="293">
        <f t="shared" si="0"/>
        <v>0</v>
      </c>
      <c r="Y28" s="422">
        <v>0</v>
      </c>
      <c r="AA28" s="422">
        <v>0</v>
      </c>
      <c r="AC28" s="422">
        <v>0</v>
      </c>
      <c r="AE28" s="472">
        <v>1</v>
      </c>
      <c r="AF28" s="282">
        <f t="shared" si="5"/>
        <v>0</v>
      </c>
      <c r="AG28" s="484">
        <f>((U28)*AE28)+Y28+AA28+AC28</f>
        <v>1.1205600000000009</v>
      </c>
      <c r="AH28" s="294">
        <f t="shared" si="6"/>
        <v>1.9670332405485113E-4</v>
      </c>
      <c r="AI28" s="484">
        <f>(U28)*AF28</f>
        <v>0</v>
      </c>
      <c r="AJ28" s="487">
        <f t="shared" si="7"/>
        <v>0</v>
      </c>
    </row>
    <row r="29" spans="1:36" s="88" customFormat="1" ht="17.55" thickBot="1" x14ac:dyDescent="0.3">
      <c r="A29" s="273" t="s">
        <v>193</v>
      </c>
      <c r="B29" s="385">
        <f>B27*0.42</f>
        <v>1.008E-2</v>
      </c>
      <c r="C29" s="302">
        <f>D29*C10</f>
        <v>1622.88</v>
      </c>
      <c r="D29" s="298">
        <f>B29</f>
        <v>1.008E-2</v>
      </c>
      <c r="E29" s="475">
        <v>0.8</v>
      </c>
      <c r="F29" s="282">
        <f t="shared" si="9"/>
        <v>0.19999999999999996</v>
      </c>
      <c r="G29" s="291">
        <f t="shared" si="19"/>
        <v>1298.3040000000001</v>
      </c>
      <c r="H29" s="294">
        <f t="shared" si="8"/>
        <v>1.3453289607917689E-2</v>
      </c>
      <c r="I29" s="291">
        <f t="shared" si="20"/>
        <v>324.57599999999996</v>
      </c>
      <c r="J29" s="294">
        <f t="shared" si="1"/>
        <v>5.0325430293662356E-3</v>
      </c>
      <c r="K29" s="481">
        <v>0</v>
      </c>
      <c r="L29" s="155"/>
      <c r="M29" s="481">
        <v>0</v>
      </c>
      <c r="N29" s="155"/>
      <c r="O29" s="422">
        <v>0</v>
      </c>
      <c r="P29" s="155"/>
      <c r="Q29" s="475">
        <v>0.95</v>
      </c>
      <c r="R29" s="282">
        <f t="shared" si="2"/>
        <v>5.0000000000000044E-2</v>
      </c>
      <c r="S29" s="484">
        <f>(G29+O29)*Q29</f>
        <v>1233.3887999999999</v>
      </c>
      <c r="T29" s="294">
        <f t="shared" si="3"/>
        <v>2.740727467121511E-2</v>
      </c>
      <c r="U29" s="484">
        <f>(G29+O29)*R29</f>
        <v>64.915200000000056</v>
      </c>
      <c r="V29" s="294">
        <f t="shared" si="4"/>
        <v>1.2296943218412868E-3</v>
      </c>
      <c r="W29" s="484">
        <f>(K29+M29)</f>
        <v>0</v>
      </c>
      <c r="X29" s="293">
        <f t="shared" si="0"/>
        <v>0</v>
      </c>
      <c r="Y29" s="422">
        <v>0</v>
      </c>
      <c r="AA29" s="422">
        <v>0</v>
      </c>
      <c r="AC29" s="422">
        <v>0</v>
      </c>
      <c r="AE29" s="475">
        <v>0.95</v>
      </c>
      <c r="AF29" s="282">
        <f t="shared" si="5"/>
        <v>5.0000000000000044E-2</v>
      </c>
      <c r="AG29" s="484">
        <f>((U29)*AE29)+Y29+AA29+AC29</f>
        <v>61.669440000000051</v>
      </c>
      <c r="AH29" s="294">
        <f t="shared" si="6"/>
        <v>1.0825465696260084E-2</v>
      </c>
      <c r="AI29" s="484">
        <f>(U29)*AF29</f>
        <v>3.2457600000000055</v>
      </c>
      <c r="AJ29" s="487">
        <f t="shared" si="7"/>
        <v>6.1973963599460882E-5</v>
      </c>
    </row>
    <row r="30" spans="1:36" s="88" customFormat="1" ht="17.55" thickBot="1" x14ac:dyDescent="0.3">
      <c r="A30" s="272" t="s">
        <v>194</v>
      </c>
      <c r="B30" s="385">
        <f>$B$26*0.92</f>
        <v>0.27600000000000002</v>
      </c>
      <c r="C30" s="303">
        <f>C31+C32</f>
        <v>44436</v>
      </c>
      <c r="D30" s="296">
        <f>C30/C10</f>
        <v>0.27600000000000002</v>
      </c>
      <c r="E30" s="419">
        <f>(I30/(C30))</f>
        <v>0.84650000000000014</v>
      </c>
      <c r="F30" s="282">
        <f t="shared" si="9"/>
        <v>0.15349999999999986</v>
      </c>
      <c r="G30" s="291">
        <f>G31+G32</f>
        <v>6820.9260000000004</v>
      </c>
      <c r="H30" s="293">
        <f t="shared" si="8"/>
        <v>7.0679819882073516E-2</v>
      </c>
      <c r="I30" s="291">
        <f>I31+I32</f>
        <v>37615.074000000008</v>
      </c>
      <c r="J30" s="293">
        <f t="shared" si="1"/>
        <v>0.5832208125609879</v>
      </c>
      <c r="K30" s="481">
        <v>0</v>
      </c>
      <c r="L30" s="154"/>
      <c r="M30" s="481">
        <v>0</v>
      </c>
      <c r="N30" s="154"/>
      <c r="O30" s="422">
        <v>0</v>
      </c>
      <c r="P30" s="154"/>
      <c r="Q30" s="419">
        <f>(S30/(G30+O30))</f>
        <v>0.9900000000000001</v>
      </c>
      <c r="R30" s="282">
        <f t="shared" si="2"/>
        <v>9.9999999999998979E-3</v>
      </c>
      <c r="S30" s="484">
        <f>S31+S32</f>
        <v>6752.7167400000008</v>
      </c>
      <c r="T30" s="293">
        <f t="shared" si="3"/>
        <v>0.15005289692114301</v>
      </c>
      <c r="U30" s="484">
        <f>U31+U32</f>
        <v>68.209260000000071</v>
      </c>
      <c r="V30" s="293">
        <f t="shared" si="4"/>
        <v>1.292093989065674E-3</v>
      </c>
      <c r="W30" s="484">
        <f>W31+W32</f>
        <v>0</v>
      </c>
      <c r="X30" s="293">
        <f t="shared" si="0"/>
        <v>0</v>
      </c>
      <c r="Y30" s="422">
        <v>0</v>
      </c>
      <c r="AA30" s="422">
        <v>0</v>
      </c>
      <c r="AC30" s="422">
        <v>0</v>
      </c>
      <c r="AE30" s="419">
        <f>(AG30/(U30))</f>
        <v>0.95503876221498352</v>
      </c>
      <c r="AF30" s="282">
        <f t="shared" si="5"/>
        <v>4.4961237785016483E-2</v>
      </c>
      <c r="AG30" s="484">
        <f>AG31+AG32</f>
        <v>65.142487242000058</v>
      </c>
      <c r="AH30" s="294">
        <f t="shared" si="6"/>
        <v>1.1435125096114562E-2</v>
      </c>
      <c r="AI30" s="484">
        <f>AI31+AI32</f>
        <v>3.0667727580000057</v>
      </c>
      <c r="AJ30" s="487">
        <f t="shared" si="7"/>
        <v>5.8556413065695024E-5</v>
      </c>
    </row>
    <row r="31" spans="1:36" s="88" customFormat="1" ht="17.55" thickBot="1" x14ac:dyDescent="0.3">
      <c r="A31" s="273" t="s">
        <v>195</v>
      </c>
      <c r="B31" s="385">
        <f>B30*0.31</f>
        <v>8.5560000000000011E-2</v>
      </c>
      <c r="C31" s="302">
        <f>D31*C10</f>
        <v>13775.160000000002</v>
      </c>
      <c r="D31" s="298">
        <f>B31</f>
        <v>8.5560000000000011E-2</v>
      </c>
      <c r="E31" s="473">
        <v>0.05</v>
      </c>
      <c r="F31" s="282">
        <f t="shared" si="9"/>
        <v>0.95</v>
      </c>
      <c r="G31" s="291">
        <f t="shared" ref="G31:G32" si="21">($C31)*E31</f>
        <v>688.75800000000015</v>
      </c>
      <c r="H31" s="293">
        <f t="shared" si="8"/>
        <v>7.137050216105144E-3</v>
      </c>
      <c r="I31" s="291">
        <f t="shared" ref="I31:I32" si="22">($C31)*F31</f>
        <v>13086.402000000002</v>
      </c>
      <c r="J31" s="293">
        <f t="shared" si="1"/>
        <v>0.20290434648459646</v>
      </c>
      <c r="K31" s="481">
        <v>0</v>
      </c>
      <c r="L31" s="155"/>
      <c r="M31" s="481">
        <v>0</v>
      </c>
      <c r="N31" s="155"/>
      <c r="O31" s="422">
        <v>0</v>
      </c>
      <c r="P31" s="155"/>
      <c r="Q31" s="473">
        <v>0.99</v>
      </c>
      <c r="R31" s="282">
        <f t="shared" si="2"/>
        <v>1.0000000000000009E-2</v>
      </c>
      <c r="S31" s="484">
        <f>(G31+O31)*Q31</f>
        <v>681.87042000000019</v>
      </c>
      <c r="T31" s="293">
        <f t="shared" si="3"/>
        <v>1.5151921187476986E-2</v>
      </c>
      <c r="U31" s="484">
        <f>(G31+O31)*R31</f>
        <v>6.8875800000000078</v>
      </c>
      <c r="V31" s="293">
        <f t="shared" si="4"/>
        <v>1.3047203146917229E-4</v>
      </c>
      <c r="W31" s="484">
        <f>(K31+M31)</f>
        <v>0</v>
      </c>
      <c r="X31" s="293">
        <f t="shared" si="0"/>
        <v>0</v>
      </c>
      <c r="Y31" s="422">
        <v>0</v>
      </c>
      <c r="AA31" s="422">
        <v>0</v>
      </c>
      <c r="AC31" s="422">
        <v>0</v>
      </c>
      <c r="AE31" s="473">
        <v>0.99990000000000001</v>
      </c>
      <c r="AF31" s="282">
        <f t="shared" si="5"/>
        <v>9.9999999999988987E-5</v>
      </c>
      <c r="AG31" s="484">
        <f>((U31)*AE31)+Y31+AA31+AC31</f>
        <v>6.8868912420000079</v>
      </c>
      <c r="AH31" s="294">
        <f t="shared" si="6"/>
        <v>1.2089262508974466E-3</v>
      </c>
      <c r="AI31" s="484">
        <f>(U31)*AF31</f>
        <v>6.887579999999249E-4</v>
      </c>
      <c r="AJ31" s="487">
        <f t="shared" si="7"/>
        <v>1.3151022632860333E-8</v>
      </c>
    </row>
    <row r="32" spans="1:36" s="88" customFormat="1" ht="17.55" thickBot="1" x14ac:dyDescent="0.3">
      <c r="A32" s="272" t="s">
        <v>196</v>
      </c>
      <c r="B32" s="385">
        <f>B30*0.69</f>
        <v>0.19044</v>
      </c>
      <c r="C32" s="302">
        <f>D32*C10</f>
        <v>30660.84</v>
      </c>
      <c r="D32" s="298">
        <f>B32</f>
        <v>0.19044</v>
      </c>
      <c r="E32" s="476">
        <v>0.2</v>
      </c>
      <c r="F32" s="282">
        <f t="shared" si="9"/>
        <v>0.8</v>
      </c>
      <c r="G32" s="291">
        <f t="shared" si="21"/>
        <v>6132.1680000000006</v>
      </c>
      <c r="H32" s="293">
        <f t="shared" si="8"/>
        <v>6.3542769665968377E-2</v>
      </c>
      <c r="I32" s="291">
        <f t="shared" si="22"/>
        <v>24528.672000000002</v>
      </c>
      <c r="J32" s="293">
        <f t="shared" si="1"/>
        <v>0.3803164660763913</v>
      </c>
      <c r="K32" s="481">
        <v>0</v>
      </c>
      <c r="L32" s="155"/>
      <c r="M32" s="481">
        <v>0</v>
      </c>
      <c r="N32" s="155"/>
      <c r="O32" s="422">
        <v>0</v>
      </c>
      <c r="P32" s="155"/>
      <c r="Q32" s="476">
        <v>0.99</v>
      </c>
      <c r="R32" s="282">
        <f t="shared" si="2"/>
        <v>1.0000000000000009E-2</v>
      </c>
      <c r="S32" s="484">
        <f>(G32+O32)*Q32</f>
        <v>6070.8463200000006</v>
      </c>
      <c r="T32" s="293">
        <f t="shared" si="3"/>
        <v>0.13490097573366605</v>
      </c>
      <c r="U32" s="484">
        <f>(G32+O32)*R32</f>
        <v>61.321680000000057</v>
      </c>
      <c r="V32" s="293">
        <f t="shared" si="4"/>
        <v>1.1616219575965015E-3</v>
      </c>
      <c r="W32" s="484">
        <f>(K32+M32)</f>
        <v>0</v>
      </c>
      <c r="X32" s="293">
        <f t="shared" si="0"/>
        <v>0</v>
      </c>
      <c r="Y32" s="422">
        <v>0</v>
      </c>
      <c r="AA32" s="422">
        <v>0</v>
      </c>
      <c r="AC32" s="422">
        <v>0</v>
      </c>
      <c r="AE32" s="476">
        <v>0.95</v>
      </c>
      <c r="AF32" s="282">
        <f t="shared" si="5"/>
        <v>5.0000000000000044E-2</v>
      </c>
      <c r="AG32" s="484">
        <f>((U32)*AE32)+Y32+AA32+AC32</f>
        <v>58.255596000000054</v>
      </c>
      <c r="AH32" s="294">
        <f t="shared" si="6"/>
        <v>1.0226198845217116E-2</v>
      </c>
      <c r="AI32" s="484">
        <f>(U32)*AF32</f>
        <v>3.0660840000000058</v>
      </c>
      <c r="AJ32" s="487">
        <f t="shared" si="7"/>
        <v>5.8543262043062167E-5</v>
      </c>
    </row>
    <row r="33" spans="1:36" s="88" customFormat="1" ht="21.3" thickBot="1" x14ac:dyDescent="0.4">
      <c r="A33" s="273" t="s">
        <v>197</v>
      </c>
      <c r="B33" s="295">
        <v>4.0999999999999996</v>
      </c>
      <c r="C33" s="303">
        <f>C34</f>
        <v>660100</v>
      </c>
      <c r="D33" s="299">
        <f>C33/C10</f>
        <v>4.0999999999999996</v>
      </c>
      <c r="E33" s="419">
        <f>(I33/(C33))</f>
        <v>0.442</v>
      </c>
      <c r="F33" s="282">
        <f t="shared" si="9"/>
        <v>0.55800000000000005</v>
      </c>
      <c r="G33" s="291">
        <f>G34</f>
        <v>368335.8</v>
      </c>
      <c r="H33" s="293">
        <f t="shared" si="8"/>
        <v>3.8167703329605764</v>
      </c>
      <c r="I33" s="291">
        <f>I34</f>
        <v>291764.2</v>
      </c>
      <c r="J33" s="293">
        <f t="shared" si="1"/>
        <v>4.5237968639967727</v>
      </c>
      <c r="K33" s="481">
        <v>0</v>
      </c>
      <c r="L33" s="154"/>
      <c r="M33" s="481">
        <v>0</v>
      </c>
      <c r="N33" s="154"/>
      <c r="O33" s="422">
        <v>0</v>
      </c>
      <c r="P33" s="154"/>
      <c r="Q33" s="419">
        <f>(S33/(G33+O33))</f>
        <v>0.95376344086021503</v>
      </c>
      <c r="R33" s="282">
        <f t="shared" si="2"/>
        <v>4.6236559139784972E-2</v>
      </c>
      <c r="S33" s="484">
        <f>S34</f>
        <v>351305.22</v>
      </c>
      <c r="T33" s="293">
        <f t="shared" si="3"/>
        <v>7.8063937810783193</v>
      </c>
      <c r="U33" s="484">
        <f>U34</f>
        <v>17030.580000000013</v>
      </c>
      <c r="V33" s="293">
        <f t="shared" si="4"/>
        <v>0.32261176925687329</v>
      </c>
      <c r="W33" s="484">
        <f>W34</f>
        <v>0</v>
      </c>
      <c r="X33" s="293">
        <f t="shared" si="0"/>
        <v>0</v>
      </c>
      <c r="Y33" s="422">
        <v>0</v>
      </c>
      <c r="AA33" s="422">
        <v>0</v>
      </c>
      <c r="AC33" s="422">
        <v>0</v>
      </c>
      <c r="AE33" s="419">
        <f>(AG33/(U33))</f>
        <v>0.99969999999999992</v>
      </c>
      <c r="AF33" s="282">
        <f t="shared" si="5"/>
        <v>3.0000000000007798E-4</v>
      </c>
      <c r="AG33" s="484">
        <f>AG34</f>
        <v>17025.470826000012</v>
      </c>
      <c r="AH33" s="294">
        <f t="shared" si="6"/>
        <v>2.988654516556982</v>
      </c>
      <c r="AI33" s="484">
        <f>AI34</f>
        <v>5.1091739999994408</v>
      </c>
      <c r="AJ33" s="487">
        <f t="shared" si="7"/>
        <v>9.7553658773069101E-5</v>
      </c>
    </row>
    <row r="34" spans="1:36" s="88" customFormat="1" ht="17.55" thickBot="1" x14ac:dyDescent="0.3">
      <c r="A34" s="272" t="s">
        <v>198</v>
      </c>
      <c r="B34" s="265"/>
      <c r="C34" s="303">
        <f>C35+C36</f>
        <v>660100</v>
      </c>
      <c r="D34" s="296">
        <f>C34/C10</f>
        <v>4.0999999999999996</v>
      </c>
      <c r="E34" s="419">
        <f>(I34/(C34))</f>
        <v>0.442</v>
      </c>
      <c r="F34" s="282">
        <f t="shared" si="9"/>
        <v>0.55800000000000005</v>
      </c>
      <c r="G34" s="291">
        <f>G35+G36</f>
        <v>368335.8</v>
      </c>
      <c r="H34" s="293">
        <f t="shared" si="8"/>
        <v>3.8167703329605764</v>
      </c>
      <c r="I34" s="291">
        <f>I35+I36</f>
        <v>291764.2</v>
      </c>
      <c r="J34" s="293">
        <f t="shared" si="1"/>
        <v>4.5237968639967727</v>
      </c>
      <c r="K34" s="481">
        <v>0</v>
      </c>
      <c r="L34" s="155"/>
      <c r="M34" s="481">
        <v>0</v>
      </c>
      <c r="N34" s="155"/>
      <c r="O34" s="422">
        <v>0</v>
      </c>
      <c r="P34" s="155"/>
      <c r="Q34" s="419">
        <f>(S34/(G34+O34))</f>
        <v>0.95376344086021503</v>
      </c>
      <c r="R34" s="282">
        <f>100%-Q34</f>
        <v>4.6236559139784972E-2</v>
      </c>
      <c r="S34" s="484">
        <f>S35+S36</f>
        <v>351305.22</v>
      </c>
      <c r="T34" s="293">
        <f t="shared" si="3"/>
        <v>7.8063937810783193</v>
      </c>
      <c r="U34" s="484">
        <f>U35+U36</f>
        <v>17030.580000000013</v>
      </c>
      <c r="V34" s="293">
        <f t="shared" si="4"/>
        <v>0.32261176925687329</v>
      </c>
      <c r="W34" s="484">
        <f>W35+W36</f>
        <v>0</v>
      </c>
      <c r="X34" s="293">
        <f t="shared" si="0"/>
        <v>0</v>
      </c>
      <c r="Y34" s="422">
        <v>0</v>
      </c>
      <c r="AA34" s="422">
        <v>0</v>
      </c>
      <c r="AC34" s="422">
        <v>0</v>
      </c>
      <c r="AE34" s="419">
        <f>(AG34/(U34))</f>
        <v>0.99969999999999992</v>
      </c>
      <c r="AF34" s="282">
        <f t="shared" si="5"/>
        <v>3.0000000000007798E-4</v>
      </c>
      <c r="AG34" s="484">
        <f>AG35+AG36</f>
        <v>17025.470826000012</v>
      </c>
      <c r="AH34" s="294">
        <f t="shared" si="6"/>
        <v>2.988654516556982</v>
      </c>
      <c r="AI34" s="484">
        <f>AI35+AI36</f>
        <v>5.1091739999994408</v>
      </c>
      <c r="AJ34" s="487">
        <f t="shared" si="7"/>
        <v>9.7553658773069101E-5</v>
      </c>
    </row>
    <row r="35" spans="1:36" s="88" customFormat="1" ht="17.55" thickBot="1" x14ac:dyDescent="0.3">
      <c r="A35" s="273" t="s">
        <v>199</v>
      </c>
      <c r="B35" s="266"/>
      <c r="C35" s="303">
        <f>D35*C10</f>
        <v>92413.999999999985</v>
      </c>
      <c r="D35" s="296">
        <f>0.14*B33</f>
        <v>0.57399999999999995</v>
      </c>
      <c r="E35" s="473">
        <v>0.3</v>
      </c>
      <c r="F35" s="282">
        <f t="shared" si="9"/>
        <v>0.7</v>
      </c>
      <c r="G35" s="291">
        <f t="shared" ref="G35:G36" si="23">($C35)*E35</f>
        <v>27724.199999999993</v>
      </c>
      <c r="H35" s="293">
        <f t="shared" si="8"/>
        <v>0.28728378850240893</v>
      </c>
      <c r="I35" s="291">
        <f t="shared" ref="I35:I36" si="24">($C35)*F35</f>
        <v>64689.799999999988</v>
      </c>
      <c r="J35" s="293">
        <f t="shared" si="1"/>
        <v>1.0030137843250762</v>
      </c>
      <c r="K35" s="481">
        <v>0</v>
      </c>
      <c r="L35" s="155"/>
      <c r="M35" s="481">
        <v>0</v>
      </c>
      <c r="N35" s="155"/>
      <c r="O35" s="422">
        <v>0</v>
      </c>
      <c r="P35" s="155"/>
      <c r="Q35" s="473">
        <v>1</v>
      </c>
      <c r="R35" s="282">
        <f t="shared" si="2"/>
        <v>0</v>
      </c>
      <c r="S35" s="484">
        <f>(G35+O35)*Q35</f>
        <v>27724.199999999993</v>
      </c>
      <c r="T35" s="293">
        <f t="shared" si="3"/>
        <v>0.61606264337709393</v>
      </c>
      <c r="U35" s="484">
        <f>(G35+O35)*R35</f>
        <v>0</v>
      </c>
      <c r="V35" s="293">
        <f t="shared" si="4"/>
        <v>0</v>
      </c>
      <c r="W35" s="484">
        <f>(K35+M35)</f>
        <v>0</v>
      </c>
      <c r="X35" s="293">
        <f t="shared" si="0"/>
        <v>0</v>
      </c>
      <c r="Y35" s="422">
        <v>0</v>
      </c>
      <c r="AA35" s="422">
        <v>0</v>
      </c>
      <c r="AC35" s="422">
        <v>0</v>
      </c>
      <c r="AE35" s="473">
        <v>1</v>
      </c>
      <c r="AF35" s="282">
        <f t="shared" si="5"/>
        <v>0</v>
      </c>
      <c r="AG35" s="484">
        <f>((U35)*AE35)+Y35+AA35+AC35</f>
        <v>0</v>
      </c>
      <c r="AH35" s="294">
        <f t="shared" si="6"/>
        <v>0</v>
      </c>
      <c r="AI35" s="484">
        <f>(U35)*AF35</f>
        <v>0</v>
      </c>
      <c r="AJ35" s="487">
        <f t="shared" si="7"/>
        <v>0</v>
      </c>
    </row>
    <row r="36" spans="1:36" s="88" customFormat="1" ht="17.55" thickBot="1" x14ac:dyDescent="0.3">
      <c r="A36" s="272" t="s">
        <v>200</v>
      </c>
      <c r="B36" s="266"/>
      <c r="C36" s="302">
        <f>D36*C10</f>
        <v>567686</v>
      </c>
      <c r="D36" s="298">
        <f>0.86*B33</f>
        <v>3.5259999999999998</v>
      </c>
      <c r="E36" s="476">
        <v>0.6</v>
      </c>
      <c r="F36" s="282">
        <f t="shared" si="9"/>
        <v>0.4</v>
      </c>
      <c r="G36" s="291">
        <f t="shared" si="23"/>
        <v>340611.6</v>
      </c>
      <c r="H36" s="293">
        <f t="shared" si="8"/>
        <v>3.5294865444581673</v>
      </c>
      <c r="I36" s="291">
        <f t="shared" si="24"/>
        <v>227074.40000000002</v>
      </c>
      <c r="J36" s="293">
        <f>I36/$I$10</f>
        <v>3.5207830796716966</v>
      </c>
      <c r="K36" s="482">
        <v>0</v>
      </c>
      <c r="L36" s="155"/>
      <c r="M36" s="482">
        <v>0</v>
      </c>
      <c r="N36" s="155"/>
      <c r="O36" s="423">
        <v>0</v>
      </c>
      <c r="P36" s="155"/>
      <c r="Q36" s="476">
        <v>0.95</v>
      </c>
      <c r="R36" s="282">
        <f>100%-Q36</f>
        <v>5.0000000000000044E-2</v>
      </c>
      <c r="S36" s="484">
        <f>(G36+O36)*Q36</f>
        <v>323581.01999999996</v>
      </c>
      <c r="T36" s="293">
        <f t="shared" si="3"/>
        <v>7.1903311377012251</v>
      </c>
      <c r="U36" s="484">
        <f>(G36+O36)*R36</f>
        <v>17030.580000000013</v>
      </c>
      <c r="V36" s="293">
        <f t="shared" si="4"/>
        <v>0.32261176925687329</v>
      </c>
      <c r="W36" s="484">
        <f>(K36+M36)</f>
        <v>0</v>
      </c>
      <c r="X36" s="293">
        <f t="shared" si="0"/>
        <v>0</v>
      </c>
      <c r="Y36" s="423">
        <v>0</v>
      </c>
      <c r="AA36" s="423">
        <v>0</v>
      </c>
      <c r="AC36" s="423">
        <v>0</v>
      </c>
      <c r="AE36" s="476">
        <v>0.99970000000000003</v>
      </c>
      <c r="AF36" s="282">
        <f t="shared" si="5"/>
        <v>2.9999999999996696E-4</v>
      </c>
      <c r="AG36" s="484">
        <f>((U36)*AE36)+Y36+AA36+AC36</f>
        <v>17025.470826000012</v>
      </c>
      <c r="AH36" s="294">
        <f t="shared" si="6"/>
        <v>2.988654516556982</v>
      </c>
      <c r="AI36" s="484">
        <f>(U36)*AF36</f>
        <v>5.1091739999994408</v>
      </c>
      <c r="AJ36" s="487">
        <f t="shared" si="7"/>
        <v>9.7553658773069101E-5</v>
      </c>
    </row>
    <row r="37" spans="1:36" s="88" customFormat="1" x14ac:dyDescent="0.25">
      <c r="A37" s="92"/>
      <c r="B37" s="92"/>
      <c r="C37" s="92"/>
      <c r="D37" s="92"/>
      <c r="E37" s="92"/>
      <c r="F37" s="92"/>
      <c r="G37" s="92"/>
      <c r="H37" s="92"/>
      <c r="Q37" s="89"/>
      <c r="R37" s="90"/>
      <c r="AE37" s="90"/>
      <c r="AF37" s="90"/>
    </row>
    <row r="38" spans="1:36" s="88" customFormat="1" x14ac:dyDescent="0.25">
      <c r="A38" s="92"/>
      <c r="B38" s="92"/>
      <c r="C38" s="92"/>
      <c r="D38" s="92"/>
      <c r="E38" s="92"/>
      <c r="F38" s="92"/>
      <c r="G38" s="92"/>
      <c r="H38" s="92"/>
      <c r="Q38" s="89"/>
      <c r="R38" s="90"/>
      <c r="AE38" s="90"/>
      <c r="AF38" s="90"/>
    </row>
    <row r="39" spans="1:36" s="88" customFormat="1" ht="15.05" x14ac:dyDescent="0.3">
      <c r="A39" s="92"/>
      <c r="B39" s="92"/>
      <c r="C39" s="92"/>
      <c r="D39" s="92"/>
      <c r="H39" s="101"/>
      <c r="J39" s="101"/>
      <c r="T39" s="101"/>
      <c r="V39" s="101"/>
      <c r="W39" s="101"/>
      <c r="X39" s="101"/>
      <c r="AH39" s="101"/>
      <c r="AJ39" s="101"/>
    </row>
    <row r="40" spans="1:36" x14ac:dyDescent="0.25">
      <c r="A40" s="329"/>
      <c r="B40" s="329"/>
      <c r="Z40" s="88"/>
    </row>
  </sheetData>
  <mergeCells count="22">
    <mergeCell ref="K1:P1"/>
    <mergeCell ref="Y1:AD1"/>
    <mergeCell ref="Y2:AD3"/>
    <mergeCell ref="Q1:R1"/>
    <mergeCell ref="S1:T1"/>
    <mergeCell ref="U1:V1"/>
    <mergeCell ref="AI1:AJ1"/>
    <mergeCell ref="K4:L4"/>
    <mergeCell ref="M4:N4"/>
    <mergeCell ref="O4:P4"/>
    <mergeCell ref="C1:D1"/>
    <mergeCell ref="E1:F1"/>
    <mergeCell ref="G1:H1"/>
    <mergeCell ref="I1:J1"/>
    <mergeCell ref="H4:H9"/>
    <mergeCell ref="AE1:AF1"/>
    <mergeCell ref="AA4:AB4"/>
    <mergeCell ref="AC4:AD4"/>
    <mergeCell ref="Y4:Z4"/>
    <mergeCell ref="AG1:AH1"/>
    <mergeCell ref="W1:X1"/>
    <mergeCell ref="K2:N3"/>
  </mergeCells>
  <conditionalFormatting sqref="H12">
    <cfRule type="cellIs" dxfId="1" priority="2" operator="greaterThan">
      <formula>15</formula>
    </cfRule>
  </conditionalFormatting>
  <conditionalFormatting sqref="H4:H9">
    <cfRule type="containsText" dxfId="0" priority="1" operator="containsText" text="RO will not be able to process this stream, because of too high dry matter content!">
      <formula>NOT(ISERROR(SEARCH("RO will not be able to process this stream, because of too high dry matter content!",H4)))</formula>
    </cfRule>
  </conditionalFormatting>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7BA4B-C9F2-47FF-8153-12472016C60F}">
  <dimension ref="A1:R32"/>
  <sheetViews>
    <sheetView zoomScale="55" zoomScaleNormal="55" workbookViewId="0">
      <pane xSplit="1" ySplit="3" topLeftCell="B4" activePane="bottomRight" state="frozen"/>
      <selection activeCell="L44" sqref="L44:M44"/>
      <selection pane="topRight" activeCell="L44" sqref="L44:M44"/>
      <selection pane="bottomLeft" activeCell="L44" sqref="L44:M44"/>
      <selection pane="bottomRight" activeCell="L24" sqref="L24"/>
    </sheetView>
  </sheetViews>
  <sheetFormatPr defaultColWidth="10.796875" defaultRowHeight="14.4" x14ac:dyDescent="0.25"/>
  <cols>
    <col min="1" max="1" width="35" style="93" customWidth="1"/>
    <col min="2" max="2" width="31.8984375" style="254" customWidth="1"/>
    <col min="3" max="3" width="13.296875" style="254" bestFit="1" customWidth="1"/>
    <col min="4" max="4" width="32.5" style="254" customWidth="1"/>
    <col min="5" max="5" width="24.19921875" style="254" customWidth="1"/>
    <col min="6" max="6" width="24.5" style="254" customWidth="1"/>
    <col min="7" max="7" width="14" style="254" customWidth="1"/>
    <col min="8" max="8" width="22.69921875" style="254" customWidth="1"/>
    <col min="9" max="9" width="17.19921875" style="254" customWidth="1"/>
    <col min="10" max="10" width="16" style="254" customWidth="1"/>
    <col min="12" max="12" width="16.296875" style="254" customWidth="1"/>
    <col min="13" max="16384" width="10.796875" style="254"/>
  </cols>
  <sheetData>
    <row r="1" spans="1:18" s="410" customFormat="1" ht="28.8" thickBot="1" x14ac:dyDescent="0.5">
      <c r="A1" s="256" t="s">
        <v>145</v>
      </c>
      <c r="B1" s="295" t="s">
        <v>359</v>
      </c>
      <c r="C1" s="496" t="s">
        <v>363</v>
      </c>
      <c r="D1" s="497"/>
      <c r="E1" s="498" t="s">
        <v>484</v>
      </c>
      <c r="F1" s="499"/>
      <c r="G1" s="506" t="s">
        <v>487</v>
      </c>
      <c r="H1" s="509"/>
      <c r="I1" s="506" t="s">
        <v>67</v>
      </c>
      <c r="J1" s="509"/>
    </row>
    <row r="2" spans="1:18" s="410" customFormat="1" ht="75.150000000000006" x14ac:dyDescent="0.25">
      <c r="B2" s="332" t="s">
        <v>483</v>
      </c>
      <c r="C2" s="333" t="s">
        <v>171</v>
      </c>
      <c r="D2" s="334" t="s">
        <v>360</v>
      </c>
      <c r="E2" s="366" t="s">
        <v>485</v>
      </c>
      <c r="F2" s="366" t="s">
        <v>486</v>
      </c>
      <c r="G2" s="337" t="s">
        <v>1</v>
      </c>
      <c r="H2" s="338" t="s">
        <v>113</v>
      </c>
      <c r="I2" s="337" t="s">
        <v>1</v>
      </c>
      <c r="J2" s="338" t="s">
        <v>113</v>
      </c>
    </row>
    <row r="3" spans="1:18" s="410" customFormat="1" ht="21.3" thickBot="1" x14ac:dyDescent="0.3">
      <c r="A3" s="383"/>
      <c r="C3" s="322"/>
      <c r="D3" s="276" t="s">
        <v>130</v>
      </c>
      <c r="F3" s="276"/>
      <c r="H3" s="276" t="s">
        <v>130</v>
      </c>
      <c r="J3" s="276" t="s">
        <v>130</v>
      </c>
    </row>
    <row r="4" spans="1:18" s="88" customFormat="1" ht="21.3" thickBot="1" x14ac:dyDescent="0.4">
      <c r="A4" s="272" t="s">
        <v>361</v>
      </c>
      <c r="B4" s="295">
        <v>1000</v>
      </c>
      <c r="C4" s="280">
        <f>B4</f>
        <v>1000</v>
      </c>
      <c r="D4" s="280"/>
      <c r="E4" s="452">
        <f>(G4/(C4))</f>
        <v>0.21439883333333334</v>
      </c>
      <c r="F4" s="282">
        <f>100%-E4</f>
        <v>0.78560116666666668</v>
      </c>
      <c r="G4" s="346">
        <f>(G5+G6)/1000</f>
        <v>214.39883333333336</v>
      </c>
      <c r="H4" s="345"/>
      <c r="I4" s="346">
        <f>(I5+I6)/1000</f>
        <v>785.60116666666659</v>
      </c>
      <c r="J4" s="345"/>
    </row>
    <row r="5" spans="1:18" s="88" customFormat="1" ht="17.55" thickBot="1" x14ac:dyDescent="0.3">
      <c r="A5" s="273" t="s">
        <v>175</v>
      </c>
      <c r="B5" s="384"/>
      <c r="C5" s="283">
        <f>(C4*1000)-C6</f>
        <v>769000</v>
      </c>
      <c r="D5" s="300"/>
      <c r="E5" s="472">
        <v>0.05</v>
      </c>
      <c r="F5" s="282">
        <f>100%-E5</f>
        <v>0.95</v>
      </c>
      <c r="G5" s="291">
        <f>($C5)*E5</f>
        <v>38450</v>
      </c>
      <c r="H5" s="293">
        <f>G5/$G$4</f>
        <v>179.33866244607984</v>
      </c>
      <c r="I5" s="291">
        <f>($C5)*F5</f>
        <v>730550</v>
      </c>
      <c r="J5" s="293">
        <f>I5/$I$4</f>
        <v>929.92479008114174</v>
      </c>
    </row>
    <row r="6" spans="1:18" s="88" customFormat="1" ht="21.3" thickBot="1" x14ac:dyDescent="0.4">
      <c r="A6" s="272" t="s">
        <v>176</v>
      </c>
      <c r="B6" s="295">
        <v>231</v>
      </c>
      <c r="C6" s="280">
        <f>C7+C10</f>
        <v>231000</v>
      </c>
      <c r="D6" s="301">
        <f>C6/C4</f>
        <v>231</v>
      </c>
      <c r="E6" s="419">
        <f>(G6/(C6))</f>
        <v>0.76168326118326124</v>
      </c>
      <c r="F6" s="282">
        <f>100%-E6</f>
        <v>0.23831673881673876</v>
      </c>
      <c r="G6" s="291">
        <f>G7+G10</f>
        <v>175948.83333333334</v>
      </c>
      <c r="H6" s="293">
        <f t="shared" ref="H6:H30" si="0">G6/$G$4</f>
        <v>820.66133755392013</v>
      </c>
      <c r="I6" s="291">
        <f>I7+I10</f>
        <v>55051.166666666672</v>
      </c>
      <c r="J6" s="293">
        <f t="shared" ref="J6:J30" si="1">I6/$I$4</f>
        <v>70.075209918858334</v>
      </c>
      <c r="L6" s="254"/>
    </row>
    <row r="7" spans="1:18" s="88" customFormat="1" ht="17.55" thickBot="1" x14ac:dyDescent="0.3">
      <c r="A7" s="273" t="s">
        <v>177</v>
      </c>
      <c r="B7" s="384">
        <f>B6-B10</f>
        <v>71</v>
      </c>
      <c r="C7" s="280">
        <f>C8+C9</f>
        <v>71000</v>
      </c>
      <c r="D7" s="297">
        <f>C7/C4</f>
        <v>71</v>
      </c>
      <c r="E7" s="419">
        <f>(G7/(C7))</f>
        <v>0.55139201877934274</v>
      </c>
      <c r="F7" s="282">
        <f>100%-E7</f>
        <v>0.44860798122065726</v>
      </c>
      <c r="G7" s="291">
        <f>G8+G9</f>
        <v>39148.833333333336</v>
      </c>
      <c r="H7" s="293">
        <f t="shared" si="0"/>
        <v>182.59816401364122</v>
      </c>
      <c r="I7" s="291">
        <f>I8+I9</f>
        <v>31851.166666666668</v>
      </c>
      <c r="J7" s="293">
        <f t="shared" si="1"/>
        <v>40.543685546970721</v>
      </c>
    </row>
    <row r="8" spans="1:18" s="88" customFormat="1" ht="18.2" thickBot="1" x14ac:dyDescent="0.35">
      <c r="A8" s="272" t="s">
        <v>178</v>
      </c>
      <c r="B8" s="385">
        <f>B15+B22+B25+0.156+0.095+0.72+1.6+0.11</f>
        <v>7.2976666666666654</v>
      </c>
      <c r="C8" s="283">
        <f>D8*C4</f>
        <v>7297.6666666666652</v>
      </c>
      <c r="D8" s="300">
        <f>B8</f>
        <v>7.2976666666666654</v>
      </c>
      <c r="E8" s="472">
        <v>1</v>
      </c>
      <c r="F8" s="282">
        <f t="shared" ref="F8:F30" si="2">100%-E8</f>
        <v>0</v>
      </c>
      <c r="G8" s="291">
        <f t="shared" ref="G8:G9" si="3">($C8)*E8</f>
        <v>7297.6666666666652</v>
      </c>
      <c r="H8" s="293">
        <f t="shared" si="0"/>
        <v>34.037809596289769</v>
      </c>
      <c r="I8" s="291">
        <f>($C8)*F8</f>
        <v>0</v>
      </c>
      <c r="J8" s="293">
        <f t="shared" si="1"/>
        <v>0</v>
      </c>
      <c r="O8" s="112"/>
      <c r="Q8" s="101"/>
    </row>
    <row r="9" spans="1:18" s="88" customFormat="1" ht="18.2" thickBot="1" x14ac:dyDescent="0.35">
      <c r="A9" s="273" t="s">
        <v>179</v>
      </c>
      <c r="B9" s="385">
        <f>B7-B8</f>
        <v>63.702333333333335</v>
      </c>
      <c r="C9" s="302">
        <f>D9*C4</f>
        <v>63702.333333333336</v>
      </c>
      <c r="D9" s="300">
        <f>B9</f>
        <v>63.702333333333335</v>
      </c>
      <c r="E9" s="473">
        <v>0.5</v>
      </c>
      <c r="F9" s="282">
        <f t="shared" si="2"/>
        <v>0.5</v>
      </c>
      <c r="G9" s="291">
        <f t="shared" si="3"/>
        <v>31851.166666666668</v>
      </c>
      <c r="H9" s="293">
        <f t="shared" si="0"/>
        <v>148.56035441735145</v>
      </c>
      <c r="I9" s="291">
        <f>($C9)*F9</f>
        <v>31851.166666666668</v>
      </c>
      <c r="J9" s="293">
        <f t="shared" si="1"/>
        <v>40.543685546970721</v>
      </c>
      <c r="O9" s="112"/>
      <c r="P9" s="254"/>
      <c r="Q9" s="153"/>
      <c r="R9" s="254"/>
    </row>
    <row r="10" spans="1:18" s="88" customFormat="1" ht="21.3" thickBot="1" x14ac:dyDescent="0.4">
      <c r="A10" s="272" t="s">
        <v>180</v>
      </c>
      <c r="B10" s="467">
        <f>(160/231)*B6</f>
        <v>160</v>
      </c>
      <c r="C10" s="303">
        <f>C11+C12</f>
        <v>160000</v>
      </c>
      <c r="D10" s="301">
        <f>C10/C4</f>
        <v>160</v>
      </c>
      <c r="E10" s="419">
        <f>(G10/(C10))</f>
        <v>0.85499999999999998</v>
      </c>
      <c r="F10" s="282">
        <f t="shared" si="2"/>
        <v>0.14500000000000002</v>
      </c>
      <c r="G10" s="291">
        <f>G11+G12</f>
        <v>136800</v>
      </c>
      <c r="H10" s="293">
        <f t="shared" si="0"/>
        <v>638.06317354027885</v>
      </c>
      <c r="I10" s="291">
        <f>I11+I12</f>
        <v>23200</v>
      </c>
      <c r="J10" s="293">
        <f t="shared" si="1"/>
        <v>29.531524371887603</v>
      </c>
      <c r="O10" s="112"/>
      <c r="P10" s="254"/>
      <c r="Q10" s="101"/>
      <c r="R10" s="254"/>
    </row>
    <row r="11" spans="1:18" s="88" customFormat="1" ht="17.55" thickBot="1" x14ac:dyDescent="0.3">
      <c r="A11" s="273" t="s">
        <v>181</v>
      </c>
      <c r="B11" s="265"/>
      <c r="C11" s="302">
        <f>D11*C4</f>
        <v>113600</v>
      </c>
      <c r="D11" s="300">
        <f>71%*B10</f>
        <v>113.6</v>
      </c>
      <c r="E11" s="472">
        <v>1</v>
      </c>
      <c r="F11" s="282">
        <f t="shared" si="2"/>
        <v>0</v>
      </c>
      <c r="G11" s="291">
        <f t="shared" ref="G11:G12" si="4">($C11)*E11</f>
        <v>113600</v>
      </c>
      <c r="H11" s="293">
        <f t="shared" si="0"/>
        <v>529.85362948958823</v>
      </c>
      <c r="I11" s="291">
        <f>($C11)*F11</f>
        <v>0</v>
      </c>
      <c r="J11" s="293">
        <f t="shared" si="1"/>
        <v>0</v>
      </c>
    </row>
    <row r="12" spans="1:18" s="88" customFormat="1" ht="17.55" thickBot="1" x14ac:dyDescent="0.3">
      <c r="A12" s="272" t="s">
        <v>182</v>
      </c>
      <c r="B12" s="265"/>
      <c r="C12" s="302">
        <f>D12*C4</f>
        <v>46400</v>
      </c>
      <c r="D12" s="300">
        <f>29%*B10</f>
        <v>46.4</v>
      </c>
      <c r="E12" s="473">
        <v>0.5</v>
      </c>
      <c r="F12" s="282">
        <f t="shared" si="2"/>
        <v>0.5</v>
      </c>
      <c r="G12" s="291">
        <f t="shared" si="4"/>
        <v>23200</v>
      </c>
      <c r="H12" s="293">
        <f t="shared" si="0"/>
        <v>108.20954405069057</v>
      </c>
      <c r="I12" s="291">
        <f>($C12)*F12</f>
        <v>23200</v>
      </c>
      <c r="J12" s="293">
        <f t="shared" si="1"/>
        <v>29.531524371887603</v>
      </c>
    </row>
    <row r="13" spans="1:18" s="88" customFormat="1" ht="21.3" thickBot="1" x14ac:dyDescent="0.4">
      <c r="A13" s="273" t="s">
        <v>183</v>
      </c>
      <c r="B13" s="295">
        <v>8.8000000000000007</v>
      </c>
      <c r="C13" s="303">
        <f>C14+C17</f>
        <v>8800</v>
      </c>
      <c r="D13" s="299">
        <f>C13/C4</f>
        <v>8.8000000000000007</v>
      </c>
      <c r="E13" s="419">
        <f>(G13/(C13))</f>
        <v>0.67272727272727284</v>
      </c>
      <c r="F13" s="282">
        <f t="shared" si="2"/>
        <v>0.32727272727272716</v>
      </c>
      <c r="G13" s="291">
        <f>G14+G17</f>
        <v>5920.0000000000009</v>
      </c>
      <c r="H13" s="293">
        <f t="shared" si="0"/>
        <v>27.612090550865872</v>
      </c>
      <c r="I13" s="291">
        <f>I14+I17</f>
        <v>2880</v>
      </c>
      <c r="J13" s="293">
        <f t="shared" si="1"/>
        <v>3.6659823358205301</v>
      </c>
    </row>
    <row r="14" spans="1:18" s="88" customFormat="1" ht="17.55" thickBot="1" x14ac:dyDescent="0.3">
      <c r="A14" s="272" t="s">
        <v>184</v>
      </c>
      <c r="B14" s="265">
        <f>D16/0.95</f>
        <v>5.0526315789473681</v>
      </c>
      <c r="C14" s="303">
        <f>C15+C16</f>
        <v>5052.6315789473683</v>
      </c>
      <c r="D14" s="296">
        <f>C14/C4</f>
        <v>5.0526315789473681</v>
      </c>
      <c r="E14" s="419">
        <f>(G14/(C14))</f>
        <v>0.43</v>
      </c>
      <c r="F14" s="282">
        <f t="shared" si="2"/>
        <v>0.57000000000000006</v>
      </c>
      <c r="G14" s="291">
        <f>G15+G16</f>
        <v>2172.6315789473683</v>
      </c>
      <c r="H14" s="293">
        <f t="shared" si="0"/>
        <v>10.13359795465632</v>
      </c>
      <c r="I14" s="291">
        <f>I15+I16</f>
        <v>2880</v>
      </c>
      <c r="J14" s="293">
        <f t="shared" si="1"/>
        <v>3.6659823358205301</v>
      </c>
    </row>
    <row r="15" spans="1:18" s="88" customFormat="1" ht="17.55" thickBot="1" x14ac:dyDescent="0.3">
      <c r="A15" s="273" t="s">
        <v>185</v>
      </c>
      <c r="B15" s="265"/>
      <c r="C15" s="303">
        <f>D15*C4</f>
        <v>252.63157894736833</v>
      </c>
      <c r="D15" s="296">
        <f>B14-D16</f>
        <v>0.25263157894736832</v>
      </c>
      <c r="E15" s="473">
        <v>1</v>
      </c>
      <c r="F15" s="282">
        <f t="shared" si="2"/>
        <v>0</v>
      </c>
      <c r="G15" s="291">
        <f t="shared" ref="G15:G16" si="5">($C15)*E15</f>
        <v>252.63157894736833</v>
      </c>
      <c r="H15" s="293">
        <f t="shared" si="0"/>
        <v>1.1783253435646881</v>
      </c>
      <c r="I15" s="291">
        <f>($C15)*F15</f>
        <v>0</v>
      </c>
      <c r="J15" s="293">
        <f t="shared" si="1"/>
        <v>0</v>
      </c>
    </row>
    <row r="16" spans="1:18" s="88" customFormat="1" ht="21.3" thickBot="1" x14ac:dyDescent="0.4">
      <c r="A16" s="272" t="s">
        <v>186</v>
      </c>
      <c r="B16" s="295">
        <v>4.8</v>
      </c>
      <c r="C16" s="302">
        <f>D16*C4</f>
        <v>4800</v>
      </c>
      <c r="D16" s="299">
        <f>B16</f>
        <v>4.8</v>
      </c>
      <c r="E16" s="474">
        <v>0.4</v>
      </c>
      <c r="F16" s="282">
        <f t="shared" si="2"/>
        <v>0.6</v>
      </c>
      <c r="G16" s="291">
        <f t="shared" si="5"/>
        <v>1920</v>
      </c>
      <c r="H16" s="293">
        <f t="shared" si="0"/>
        <v>8.9552726110916332</v>
      </c>
      <c r="I16" s="291">
        <f>($C16)*F16</f>
        <v>2880</v>
      </c>
      <c r="J16" s="293">
        <f t="shared" si="1"/>
        <v>3.6659823358205301</v>
      </c>
    </row>
    <row r="17" spans="1:10" s="88" customFormat="1" ht="17.55" thickBot="1" x14ac:dyDescent="0.3">
      <c r="A17" s="273" t="s">
        <v>187</v>
      </c>
      <c r="B17" s="265">
        <f>B13-B14</f>
        <v>3.7473684210526326</v>
      </c>
      <c r="C17" s="303">
        <f>C18+C19</f>
        <v>3747.3684210526326</v>
      </c>
      <c r="D17" s="296">
        <f>C17/C4</f>
        <v>3.7473684210526326</v>
      </c>
      <c r="E17" s="419">
        <f>(G17/(C17))</f>
        <v>1</v>
      </c>
      <c r="F17" s="282">
        <f t="shared" si="2"/>
        <v>0</v>
      </c>
      <c r="G17" s="291">
        <f>G18+G19</f>
        <v>3747.3684210526326</v>
      </c>
      <c r="H17" s="293">
        <f t="shared" si="0"/>
        <v>17.478492596209552</v>
      </c>
      <c r="I17" s="291">
        <f>I18+I19</f>
        <v>0</v>
      </c>
      <c r="J17" s="293">
        <f t="shared" si="1"/>
        <v>0</v>
      </c>
    </row>
    <row r="18" spans="1:10" s="88" customFormat="1" ht="17.55" thickBot="1" x14ac:dyDescent="0.3">
      <c r="A18" s="272" t="s">
        <v>188</v>
      </c>
      <c r="B18" s="265"/>
      <c r="C18" s="302">
        <f>D18*C4</f>
        <v>1274.105263157895</v>
      </c>
      <c r="D18" s="298">
        <f>0.34*B17</f>
        <v>1.2741052631578951</v>
      </c>
      <c r="E18" s="472">
        <v>1</v>
      </c>
      <c r="F18" s="282">
        <f t="shared" si="2"/>
        <v>0</v>
      </c>
      <c r="G18" s="291">
        <f t="shared" ref="G18:G19" si="6">($C18)*E18</f>
        <v>1274.105263157895</v>
      </c>
      <c r="H18" s="293">
        <f t="shared" si="0"/>
        <v>5.9426874827112472</v>
      </c>
      <c r="I18" s="291">
        <f>($C18)*F18</f>
        <v>0</v>
      </c>
      <c r="J18" s="293">
        <f t="shared" si="1"/>
        <v>0</v>
      </c>
    </row>
    <row r="19" spans="1:10" s="88" customFormat="1" ht="17.55" thickBot="1" x14ac:dyDescent="0.3">
      <c r="A19" s="273" t="s">
        <v>189</v>
      </c>
      <c r="B19" s="265"/>
      <c r="C19" s="302">
        <f>D19*C4</f>
        <v>2473.2631578947376</v>
      </c>
      <c r="D19" s="298">
        <f>0.66*B17</f>
        <v>2.4732631578947375</v>
      </c>
      <c r="E19" s="472">
        <v>1</v>
      </c>
      <c r="F19" s="282">
        <f t="shared" si="2"/>
        <v>0</v>
      </c>
      <c r="G19" s="291">
        <f t="shared" si="6"/>
        <v>2473.2631578947376</v>
      </c>
      <c r="H19" s="293">
        <f t="shared" si="0"/>
        <v>11.535805113498304</v>
      </c>
      <c r="I19" s="291">
        <f>($C19)*F19</f>
        <v>0</v>
      </c>
      <c r="J19" s="293">
        <f t="shared" si="1"/>
        <v>0</v>
      </c>
    </row>
    <row r="20" spans="1:10" s="88" customFormat="1" ht="21.3" thickBot="1" x14ac:dyDescent="0.4">
      <c r="A20" s="272" t="s">
        <v>190</v>
      </c>
      <c r="B20" s="295">
        <v>5.8</v>
      </c>
      <c r="C20" s="303">
        <f>C21+C24</f>
        <v>5800</v>
      </c>
      <c r="D20" s="299">
        <f>C20/C4</f>
        <v>5.8</v>
      </c>
      <c r="E20" s="419">
        <f>(G20/(C20))</f>
        <v>1</v>
      </c>
      <c r="F20" s="282">
        <f t="shared" si="2"/>
        <v>0</v>
      </c>
      <c r="G20" s="291">
        <f>G21+G24</f>
        <v>5800</v>
      </c>
      <c r="H20" s="293">
        <f t="shared" si="0"/>
        <v>27.052386012672642</v>
      </c>
      <c r="I20" s="291">
        <f>I21+I24</f>
        <v>0</v>
      </c>
      <c r="J20" s="293">
        <f t="shared" si="1"/>
        <v>0</v>
      </c>
    </row>
    <row r="21" spans="1:10" s="88" customFormat="1" ht="17.55" thickBot="1" x14ac:dyDescent="0.3">
      <c r="A21" s="273" t="s">
        <v>191</v>
      </c>
      <c r="B21" s="384">
        <f>B23/0.09</f>
        <v>1.6666666666666667</v>
      </c>
      <c r="C21" s="303">
        <f>C22+C23</f>
        <v>1666.6666666666667</v>
      </c>
      <c r="D21" s="296">
        <f>C21/C4</f>
        <v>1.6666666666666667</v>
      </c>
      <c r="E21" s="419">
        <f>(G21/(C21))</f>
        <v>1</v>
      </c>
      <c r="F21" s="282">
        <f t="shared" si="2"/>
        <v>0</v>
      </c>
      <c r="G21" s="291">
        <f>G22+G23</f>
        <v>1666.6666666666667</v>
      </c>
      <c r="H21" s="293">
        <f t="shared" si="0"/>
        <v>7.7736741415725978</v>
      </c>
      <c r="I21" s="291">
        <f>I22+I23</f>
        <v>0</v>
      </c>
      <c r="J21" s="293">
        <f t="shared" si="1"/>
        <v>0</v>
      </c>
    </row>
    <row r="22" spans="1:10" s="88" customFormat="1" ht="17.55" thickBot="1" x14ac:dyDescent="0.3">
      <c r="A22" s="272" t="s">
        <v>192</v>
      </c>
      <c r="B22" s="385">
        <f>B21-B23</f>
        <v>1.5166666666666668</v>
      </c>
      <c r="C22" s="303">
        <f>D22*C4</f>
        <v>1516.6666666666667</v>
      </c>
      <c r="D22" s="296">
        <f>B22</f>
        <v>1.5166666666666668</v>
      </c>
      <c r="E22" s="472">
        <v>1</v>
      </c>
      <c r="F22" s="282">
        <f t="shared" si="2"/>
        <v>0</v>
      </c>
      <c r="G22" s="291">
        <f t="shared" ref="G22:G23" si="7">($C22)*E22</f>
        <v>1516.6666666666667</v>
      </c>
      <c r="H22" s="293">
        <f t="shared" si="0"/>
        <v>7.0740434688310643</v>
      </c>
      <c r="I22" s="291">
        <f>($C22)*F22</f>
        <v>0</v>
      </c>
      <c r="J22" s="293">
        <f t="shared" si="1"/>
        <v>0</v>
      </c>
    </row>
    <row r="23" spans="1:10" s="88" customFormat="1" ht="17.55" thickBot="1" x14ac:dyDescent="0.3">
      <c r="A23" s="273" t="s">
        <v>193</v>
      </c>
      <c r="B23" s="385">
        <v>0.15</v>
      </c>
      <c r="C23" s="302">
        <f>D23*C4</f>
        <v>150</v>
      </c>
      <c r="D23" s="298">
        <f>B23</f>
        <v>0.15</v>
      </c>
      <c r="E23" s="475">
        <v>1</v>
      </c>
      <c r="F23" s="282">
        <f t="shared" si="2"/>
        <v>0</v>
      </c>
      <c r="G23" s="291">
        <f t="shared" si="7"/>
        <v>150</v>
      </c>
      <c r="H23" s="294">
        <f t="shared" si="0"/>
        <v>0.69963067274153379</v>
      </c>
      <c r="I23" s="291">
        <f>($C23)*F23</f>
        <v>0</v>
      </c>
      <c r="J23" s="294">
        <f t="shared" si="1"/>
        <v>0</v>
      </c>
    </row>
    <row r="24" spans="1:10" s="88" customFormat="1" ht="17.55" thickBot="1" x14ac:dyDescent="0.3">
      <c r="A24" s="272" t="s">
        <v>194</v>
      </c>
      <c r="B24" s="385">
        <f>B20-B21</f>
        <v>4.1333333333333329</v>
      </c>
      <c r="C24" s="303">
        <f>C25+C26</f>
        <v>4133.333333333333</v>
      </c>
      <c r="D24" s="296">
        <f>C24/C4</f>
        <v>4.1333333333333329</v>
      </c>
      <c r="E24" s="419">
        <f>(G24/(C24))</f>
        <v>1</v>
      </c>
      <c r="F24" s="282">
        <f t="shared" si="2"/>
        <v>0</v>
      </c>
      <c r="G24" s="291">
        <f>G25+G26</f>
        <v>4133.333333333333</v>
      </c>
      <c r="H24" s="293">
        <f t="shared" si="0"/>
        <v>19.27871187110004</v>
      </c>
      <c r="I24" s="291">
        <f>I25+I26</f>
        <v>0</v>
      </c>
      <c r="J24" s="293">
        <f t="shared" si="1"/>
        <v>0</v>
      </c>
    </row>
    <row r="25" spans="1:10" s="88" customFormat="1" ht="17.55" thickBot="1" x14ac:dyDescent="0.3">
      <c r="A25" s="273" t="s">
        <v>195</v>
      </c>
      <c r="B25" s="385">
        <f>B24*0.75</f>
        <v>3.0999999999999996</v>
      </c>
      <c r="C25" s="302">
        <f>D25*C4</f>
        <v>3099.9999999999995</v>
      </c>
      <c r="D25" s="298">
        <f>B25</f>
        <v>3.0999999999999996</v>
      </c>
      <c r="E25" s="473">
        <v>1</v>
      </c>
      <c r="F25" s="282">
        <f t="shared" si="2"/>
        <v>0</v>
      </c>
      <c r="G25" s="291">
        <f t="shared" ref="G25:G26" si="8">($C25)*E25</f>
        <v>3099.9999999999995</v>
      </c>
      <c r="H25" s="293">
        <f t="shared" si="0"/>
        <v>14.459033903325031</v>
      </c>
      <c r="I25" s="291">
        <f>($C25)*F25</f>
        <v>0</v>
      </c>
      <c r="J25" s="293">
        <f t="shared" si="1"/>
        <v>0</v>
      </c>
    </row>
    <row r="26" spans="1:10" s="88" customFormat="1" ht="17.55" thickBot="1" x14ac:dyDescent="0.3">
      <c r="A26" s="272" t="s">
        <v>196</v>
      </c>
      <c r="B26" s="385">
        <f>B24*0.25</f>
        <v>1.0333333333333332</v>
      </c>
      <c r="C26" s="302">
        <f>D26*C4</f>
        <v>1033.3333333333333</v>
      </c>
      <c r="D26" s="298">
        <f>B26</f>
        <v>1.0333333333333332</v>
      </c>
      <c r="E26" s="476">
        <v>1</v>
      </c>
      <c r="F26" s="282">
        <f t="shared" si="2"/>
        <v>0</v>
      </c>
      <c r="G26" s="291">
        <f t="shared" si="8"/>
        <v>1033.3333333333333</v>
      </c>
      <c r="H26" s="293">
        <f t="shared" si="0"/>
        <v>4.8196779677750099</v>
      </c>
      <c r="I26" s="291">
        <f>($C26)*F26</f>
        <v>0</v>
      </c>
      <c r="J26" s="293">
        <f t="shared" si="1"/>
        <v>0</v>
      </c>
    </row>
    <row r="27" spans="1:10" s="88" customFormat="1" ht="21.3" thickBot="1" x14ac:dyDescent="0.4">
      <c r="A27" s="273" t="s">
        <v>197</v>
      </c>
      <c r="B27" s="295">
        <v>3.7</v>
      </c>
      <c r="C27" s="303">
        <f>C28</f>
        <v>3700</v>
      </c>
      <c r="D27" s="299">
        <f>C27/C4</f>
        <v>3.7</v>
      </c>
      <c r="E27" s="419">
        <f>(G27/(C27))</f>
        <v>1</v>
      </c>
      <c r="F27" s="282">
        <f t="shared" si="2"/>
        <v>0</v>
      </c>
      <c r="G27" s="291">
        <f>G28</f>
        <v>3700</v>
      </c>
      <c r="H27" s="293">
        <f t="shared" si="0"/>
        <v>17.257556594291167</v>
      </c>
      <c r="I27" s="291">
        <f>I28</f>
        <v>0</v>
      </c>
      <c r="J27" s="293">
        <f t="shared" si="1"/>
        <v>0</v>
      </c>
    </row>
    <row r="28" spans="1:10" s="88" customFormat="1" ht="17.55" thickBot="1" x14ac:dyDescent="0.3">
      <c r="A28" s="272" t="s">
        <v>198</v>
      </c>
      <c r="B28" s="265"/>
      <c r="C28" s="303">
        <f>C29+C30</f>
        <v>3700</v>
      </c>
      <c r="D28" s="296">
        <f>C28/C4</f>
        <v>3.7</v>
      </c>
      <c r="E28" s="419">
        <f>(G28/(C28))</f>
        <v>1</v>
      </c>
      <c r="F28" s="282">
        <f t="shared" si="2"/>
        <v>0</v>
      </c>
      <c r="G28" s="291">
        <f>G29+G30</f>
        <v>3700</v>
      </c>
      <c r="H28" s="293">
        <f t="shared" si="0"/>
        <v>17.257556594291167</v>
      </c>
      <c r="I28" s="291">
        <f>I29+I30</f>
        <v>0</v>
      </c>
      <c r="J28" s="293">
        <f t="shared" si="1"/>
        <v>0</v>
      </c>
    </row>
    <row r="29" spans="1:10" s="88" customFormat="1" ht="17.55" thickBot="1" x14ac:dyDescent="0.3">
      <c r="A29" s="273" t="s">
        <v>199</v>
      </c>
      <c r="B29" s="266"/>
      <c r="C29" s="303">
        <f>D29*C4</f>
        <v>518.00000000000011</v>
      </c>
      <c r="D29" s="296">
        <f>0.14*B27</f>
        <v>0.51800000000000013</v>
      </c>
      <c r="E29" s="473">
        <v>1</v>
      </c>
      <c r="F29" s="282">
        <f t="shared" si="2"/>
        <v>0</v>
      </c>
      <c r="G29" s="291">
        <f t="shared" ref="G29:G30" si="9">($C29)*E29</f>
        <v>518.00000000000011</v>
      </c>
      <c r="H29" s="293">
        <f t="shared" si="0"/>
        <v>2.4160579232007637</v>
      </c>
      <c r="I29" s="291">
        <f>($C29)*F29</f>
        <v>0</v>
      </c>
      <c r="J29" s="293">
        <f t="shared" si="1"/>
        <v>0</v>
      </c>
    </row>
    <row r="30" spans="1:10" s="88" customFormat="1" ht="17.55" thickBot="1" x14ac:dyDescent="0.3">
      <c r="A30" s="272" t="s">
        <v>200</v>
      </c>
      <c r="B30" s="266"/>
      <c r="C30" s="302">
        <f>D30*C4</f>
        <v>3182</v>
      </c>
      <c r="D30" s="298">
        <f>0.86*B27</f>
        <v>3.1819999999999999</v>
      </c>
      <c r="E30" s="476">
        <v>1</v>
      </c>
      <c r="F30" s="282">
        <f t="shared" si="2"/>
        <v>0</v>
      </c>
      <c r="G30" s="291">
        <f t="shared" si="9"/>
        <v>3182</v>
      </c>
      <c r="H30" s="293">
        <f t="shared" si="0"/>
        <v>14.841498671090404</v>
      </c>
      <c r="I30" s="291">
        <f>($C30)*F30</f>
        <v>0</v>
      </c>
      <c r="J30" s="293">
        <f t="shared" si="1"/>
        <v>0</v>
      </c>
    </row>
    <row r="32" spans="1:10" s="304" customFormat="1" ht="15.05" thickBot="1" x14ac:dyDescent="0.3">
      <c r="A32" s="491"/>
    </row>
  </sheetData>
  <mergeCells count="4">
    <mergeCell ref="C1:D1"/>
    <mergeCell ref="E1:F1"/>
    <mergeCell ref="G1:H1"/>
    <mergeCell ref="I1:J1"/>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D742F-2BA5-4F6E-961B-88D4D4427078}">
  <dimension ref="A1:AS164"/>
  <sheetViews>
    <sheetView topLeftCell="A71" zoomScale="70" zoomScaleNormal="70" workbookViewId="0">
      <selection activeCell="G70" sqref="G70"/>
    </sheetView>
  </sheetViews>
  <sheetFormatPr defaultColWidth="8.796875" defaultRowHeight="15.05" x14ac:dyDescent="0.3"/>
  <cols>
    <col min="1" max="1" width="8.796875" style="116"/>
    <col min="2" max="2" width="19" style="116" customWidth="1"/>
    <col min="3" max="4" width="8.796875" style="116"/>
    <col min="5" max="5" width="20.3984375" style="116" customWidth="1"/>
    <col min="6" max="6" width="11.296875" style="116" customWidth="1"/>
    <col min="7" max="7" width="24.5" style="116" customWidth="1"/>
    <col min="8" max="8" width="14" style="116" customWidth="1"/>
    <col min="9" max="9" width="15.796875" style="116" customWidth="1"/>
    <col min="10" max="14" width="8.796875" style="116"/>
    <col min="15" max="15" width="11.19921875" style="116" customWidth="1"/>
    <col min="16" max="16" width="14.796875" style="116" bestFit="1" customWidth="1"/>
    <col min="17" max="25" width="8.796875" style="116"/>
    <col min="26" max="26" width="15.59765625" style="116" customWidth="1"/>
    <col min="27" max="27" width="13.5" style="116" customWidth="1"/>
    <col min="28" max="28" width="10.59765625" style="116" bestFit="1" customWidth="1"/>
    <col min="29" max="29" width="14.8984375" style="116" bestFit="1" customWidth="1"/>
    <col min="30" max="32" width="10.59765625" style="116" bestFit="1" customWidth="1"/>
    <col min="33" max="33" width="14.796875" style="116" bestFit="1" customWidth="1"/>
    <col min="34" max="16384" width="8.796875" style="116"/>
  </cols>
  <sheetData>
    <row r="1" spans="3:18" x14ac:dyDescent="0.3">
      <c r="K1" s="116" t="s">
        <v>203</v>
      </c>
    </row>
    <row r="3" spans="3:18" x14ac:dyDescent="0.3">
      <c r="C3" s="117" t="s">
        <v>204</v>
      </c>
      <c r="D3" s="117"/>
    </row>
    <row r="4" spans="3:18" x14ac:dyDescent="0.3">
      <c r="C4" s="118"/>
      <c r="D4" s="119"/>
      <c r="E4" s="119"/>
      <c r="F4" s="119"/>
      <c r="G4" s="119"/>
      <c r="H4" s="119"/>
      <c r="I4" s="119"/>
      <c r="J4" s="119"/>
    </row>
    <row r="5" spans="3:18" x14ac:dyDescent="0.3">
      <c r="C5" s="117" t="s">
        <v>205</v>
      </c>
      <c r="D5" s="117" t="s">
        <v>206</v>
      </c>
      <c r="E5" s="117" t="s">
        <v>207</v>
      </c>
      <c r="F5" s="117" t="s">
        <v>208</v>
      </c>
      <c r="G5" s="117" t="s">
        <v>134</v>
      </c>
      <c r="H5" s="117" t="s">
        <v>209</v>
      </c>
      <c r="I5" s="117" t="s">
        <v>210</v>
      </c>
      <c r="J5" s="120"/>
      <c r="K5" s="121" t="s">
        <v>211</v>
      </c>
      <c r="L5" s="116" t="s">
        <v>212</v>
      </c>
    </row>
    <row r="6" spans="3:18" x14ac:dyDescent="0.3">
      <c r="C6" s="122">
        <v>14</v>
      </c>
      <c r="D6" s="122">
        <f>C6*10</f>
        <v>140</v>
      </c>
      <c r="E6" s="122">
        <v>7</v>
      </c>
      <c r="F6" s="123">
        <f>E6*(D6/1000)</f>
        <v>0.98000000000000009</v>
      </c>
      <c r="G6" s="122">
        <v>0.5</v>
      </c>
      <c r="H6" s="117">
        <f>G6*10</f>
        <v>5</v>
      </c>
      <c r="I6" s="117">
        <f>(F6/H6)*1000</f>
        <v>196</v>
      </c>
      <c r="J6" s="120"/>
      <c r="K6" s="116">
        <v>3</v>
      </c>
      <c r="L6" s="116">
        <f>(K6/1000)*H6</f>
        <v>1.4999999999999999E-2</v>
      </c>
    </row>
    <row r="7" spans="3:18" x14ac:dyDescent="0.3">
      <c r="C7" s="117"/>
      <c r="D7" s="117"/>
      <c r="E7" s="122">
        <v>14.29</v>
      </c>
      <c r="F7" s="117">
        <f>E7*C6%</f>
        <v>2.0005999999999999</v>
      </c>
      <c r="G7" s="122">
        <v>0.5</v>
      </c>
      <c r="H7" s="117">
        <f t="shared" ref="H7:H11" si="0">G7*10</f>
        <v>5</v>
      </c>
      <c r="I7" s="117">
        <f t="shared" ref="I7" si="1">(F7/H7)*1000</f>
        <v>400.11999999999995</v>
      </c>
      <c r="J7" s="120"/>
    </row>
    <row r="8" spans="3:18" x14ac:dyDescent="0.3">
      <c r="C8" s="117"/>
      <c r="D8" s="117"/>
      <c r="E8" s="117"/>
      <c r="F8" s="117">
        <f t="shared" ref="F8" si="2">(H8*I8)/1000</f>
        <v>0.35</v>
      </c>
      <c r="G8" s="122">
        <v>0.35</v>
      </c>
      <c r="H8" s="117">
        <f t="shared" si="0"/>
        <v>3.5</v>
      </c>
      <c r="I8" s="122">
        <v>100</v>
      </c>
      <c r="J8" s="120"/>
    </row>
    <row r="9" spans="3:18" x14ac:dyDescent="0.3">
      <c r="C9" s="117"/>
      <c r="D9" s="117"/>
      <c r="E9" s="117"/>
      <c r="F9" s="117">
        <f>(H9*I9)/1000</f>
        <v>0.25</v>
      </c>
      <c r="G9" s="122">
        <v>0.5</v>
      </c>
      <c r="H9" s="117">
        <f t="shared" si="0"/>
        <v>5</v>
      </c>
      <c r="I9" s="122">
        <v>50</v>
      </c>
      <c r="J9" s="120"/>
    </row>
    <row r="10" spans="3:18" x14ac:dyDescent="0.3">
      <c r="C10" s="117"/>
      <c r="D10" s="117"/>
      <c r="E10" s="117"/>
      <c r="F10" s="122">
        <v>0.2</v>
      </c>
      <c r="G10" s="122">
        <f>5/(1005)*100</f>
        <v>0.49751243781094528</v>
      </c>
      <c r="H10" s="117">
        <f t="shared" si="0"/>
        <v>4.9751243781094532</v>
      </c>
      <c r="I10" s="117">
        <f>(F10/H10)*1000</f>
        <v>40.200000000000003</v>
      </c>
      <c r="J10" s="120"/>
    </row>
    <row r="11" spans="3:18" x14ac:dyDescent="0.3">
      <c r="C11" s="117"/>
      <c r="D11" s="117"/>
      <c r="E11" s="117"/>
      <c r="F11" s="117">
        <f>(H11*I11)/1000</f>
        <v>5.5799999999999995E-2</v>
      </c>
      <c r="G11" s="122">
        <v>62</v>
      </c>
      <c r="H11" s="117">
        <f t="shared" si="0"/>
        <v>620</v>
      </c>
      <c r="I11" s="122">
        <v>0.09</v>
      </c>
      <c r="J11" s="120"/>
    </row>
    <row r="12" spans="3:18" x14ac:dyDescent="0.3">
      <c r="C12" s="124"/>
      <c r="D12" s="124"/>
      <c r="E12" s="124"/>
      <c r="F12" s="124"/>
      <c r="G12" s="124"/>
      <c r="H12" s="124"/>
      <c r="I12" s="124"/>
      <c r="J12" s="125"/>
    </row>
    <row r="13" spans="3:18" x14ac:dyDescent="0.3">
      <c r="G13" s="126" t="s">
        <v>213</v>
      </c>
    </row>
    <row r="15" spans="3:18" x14ac:dyDescent="0.3">
      <c r="G15" s="127"/>
    </row>
    <row r="16" spans="3:18" x14ac:dyDescent="0.3">
      <c r="G16" s="532" t="s">
        <v>214</v>
      </c>
      <c r="H16" s="532"/>
      <c r="P16" s="128" t="s">
        <v>215</v>
      </c>
      <c r="Q16" s="116">
        <v>0.9</v>
      </c>
      <c r="R16" s="129" t="s">
        <v>216</v>
      </c>
    </row>
    <row r="17" spans="6:20" x14ac:dyDescent="0.3">
      <c r="G17" s="116" t="s">
        <v>217</v>
      </c>
      <c r="H17" s="116" t="s">
        <v>218</v>
      </c>
      <c r="I17" s="532" t="s">
        <v>219</v>
      </c>
      <c r="J17" s="532"/>
      <c r="K17" s="532"/>
    </row>
    <row r="18" spans="6:20" x14ac:dyDescent="0.3">
      <c r="G18" s="130">
        <v>5</v>
      </c>
      <c r="H18" s="116">
        <f>G18/10</f>
        <v>0.5</v>
      </c>
      <c r="I18" s="116">
        <v>250</v>
      </c>
      <c r="J18" s="116">
        <v>500</v>
      </c>
      <c r="K18" s="116">
        <v>800</v>
      </c>
      <c r="L18" s="116">
        <v>63</v>
      </c>
      <c r="M18" s="116">
        <v>230</v>
      </c>
      <c r="N18" s="116">
        <v>100</v>
      </c>
      <c r="O18" s="116">
        <f>J22*G19</f>
        <v>350</v>
      </c>
    </row>
    <row r="19" spans="6:20" ht="21.95" x14ac:dyDescent="0.7">
      <c r="G19" s="116">
        <f>H19*10</f>
        <v>3.5</v>
      </c>
      <c r="H19" s="130">
        <v>0.35</v>
      </c>
      <c r="N19" s="131"/>
    </row>
    <row r="20" spans="6:20" x14ac:dyDescent="0.3">
      <c r="I20" s="116">
        <f>I18/1000</f>
        <v>0.25</v>
      </c>
      <c r="J20" s="116">
        <f t="shared" ref="J20:N20" si="3">J18/1000</f>
        <v>0.5</v>
      </c>
      <c r="K20" s="116">
        <f t="shared" si="3"/>
        <v>0.8</v>
      </c>
      <c r="L20" s="116">
        <f t="shared" si="3"/>
        <v>6.3E-2</v>
      </c>
      <c r="M20" s="116">
        <f t="shared" si="3"/>
        <v>0.23</v>
      </c>
      <c r="N20" s="116">
        <f t="shared" si="3"/>
        <v>0.1</v>
      </c>
      <c r="O20" s="116">
        <f>O18/1000</f>
        <v>0.35</v>
      </c>
      <c r="P20" s="252" t="s">
        <v>347</v>
      </c>
    </row>
    <row r="21" spans="6:20" x14ac:dyDescent="0.3">
      <c r="H21" s="132" t="s">
        <v>220</v>
      </c>
      <c r="O21" s="116" t="s">
        <v>110</v>
      </c>
    </row>
    <row r="22" spans="6:20" x14ac:dyDescent="0.3">
      <c r="F22" s="116" t="s">
        <v>107</v>
      </c>
      <c r="G22" s="116" t="s">
        <v>221</v>
      </c>
      <c r="H22" s="132">
        <f>H18</f>
        <v>0.5</v>
      </c>
      <c r="I22" s="129">
        <f>I18/$G$18</f>
        <v>50</v>
      </c>
      <c r="J22" s="129">
        <v>100</v>
      </c>
      <c r="K22" s="129">
        <f>K18/$G$18</f>
        <v>160</v>
      </c>
      <c r="L22" s="129" t="s">
        <v>216</v>
      </c>
      <c r="O22" s="130">
        <v>3</v>
      </c>
      <c r="P22" s="116" t="s">
        <v>222</v>
      </c>
    </row>
    <row r="23" spans="6:20" x14ac:dyDescent="0.3">
      <c r="H23" s="132"/>
      <c r="I23" s="116">
        <f>($G$18*I22)/1000*$O22</f>
        <v>0.75</v>
      </c>
      <c r="J23" s="116">
        <f>($G$18*J22)/1000*$O22</f>
        <v>1.5</v>
      </c>
      <c r="K23" s="116">
        <f>($G$18*K22)/1000*$O22</f>
        <v>2.4000000000000004</v>
      </c>
      <c r="L23" s="116" t="s">
        <v>223</v>
      </c>
    </row>
    <row r="24" spans="6:20" x14ac:dyDescent="0.3">
      <c r="F24" s="148" t="s">
        <v>53</v>
      </c>
      <c r="G24" s="116" t="s">
        <v>221</v>
      </c>
      <c r="H24" s="132">
        <f>H20</f>
        <v>0</v>
      </c>
      <c r="I24" s="129">
        <v>46</v>
      </c>
      <c r="J24" s="129">
        <f>J20/$G$18</f>
        <v>0.1</v>
      </c>
      <c r="K24" s="129">
        <f>K20/$G$18</f>
        <v>0.16</v>
      </c>
      <c r="L24" s="129" t="s">
        <v>216</v>
      </c>
    </row>
    <row r="25" spans="6:20" x14ac:dyDescent="0.3">
      <c r="H25" s="132"/>
      <c r="I25" s="116">
        <f>($G$18*I24)/1000*$O22</f>
        <v>0.69000000000000006</v>
      </c>
      <c r="J25" s="116">
        <f t="shared" ref="J25:K25" si="4">($G$18*J24)/1000*$O22</f>
        <v>1.5E-3</v>
      </c>
      <c r="K25" s="116">
        <f t="shared" si="4"/>
        <v>2.4000000000000002E-3</v>
      </c>
      <c r="L25" s="116" t="s">
        <v>223</v>
      </c>
    </row>
    <row r="26" spans="6:20" x14ac:dyDescent="0.3">
      <c r="F26" s="116" t="s">
        <v>107</v>
      </c>
      <c r="G26" s="133" t="s">
        <v>224</v>
      </c>
      <c r="H26" s="132">
        <v>40</v>
      </c>
      <c r="I26" s="129">
        <v>4.5</v>
      </c>
      <c r="J26" s="129">
        <f>22/24000</f>
        <v>9.1666666666666665E-4</v>
      </c>
      <c r="K26" s="129">
        <f>(42*0.9)/(H26)</f>
        <v>0.94500000000000006</v>
      </c>
      <c r="L26" s="129" t="s">
        <v>216</v>
      </c>
      <c r="O26" s="130">
        <v>0.14000000000000001</v>
      </c>
      <c r="P26" s="116" t="s">
        <v>225</v>
      </c>
    </row>
    <row r="27" spans="6:20" x14ac:dyDescent="0.3">
      <c r="G27" s="133"/>
      <c r="H27" s="132"/>
      <c r="I27" s="116">
        <f>(I26*$H$58)*$O26</f>
        <v>0.95760000000000012</v>
      </c>
      <c r="J27" s="116">
        <f>(J26*$H$58)*$O26</f>
        <v>1.9506666666666667E-4</v>
      </c>
      <c r="L27" s="116" t="s">
        <v>223</v>
      </c>
    </row>
    <row r="28" spans="6:20" x14ac:dyDescent="0.3">
      <c r="F28" s="116" t="s">
        <v>107</v>
      </c>
      <c r="G28" s="116" t="s">
        <v>170</v>
      </c>
      <c r="H28" s="132">
        <v>32</v>
      </c>
      <c r="I28" s="129">
        <v>1.75</v>
      </c>
      <c r="J28" s="129"/>
      <c r="K28" s="129"/>
      <c r="L28" s="129" t="s">
        <v>216</v>
      </c>
      <c r="O28" s="130">
        <v>2.2400000000000002</v>
      </c>
      <c r="P28" s="116" t="s">
        <v>226</v>
      </c>
    </row>
    <row r="29" spans="6:20" x14ac:dyDescent="0.3">
      <c r="H29" s="132"/>
      <c r="I29" s="116">
        <f>(I28*$H$59)*$O28</f>
        <v>5.0176000000000007</v>
      </c>
      <c r="L29" s="116" t="s">
        <v>223</v>
      </c>
    </row>
    <row r="30" spans="6:20" x14ac:dyDescent="0.3">
      <c r="F30" s="116" t="s">
        <v>107</v>
      </c>
      <c r="G30" s="116" t="s">
        <v>114</v>
      </c>
      <c r="H30" s="132">
        <v>40</v>
      </c>
      <c r="I30" s="129">
        <v>3</v>
      </c>
      <c r="J30" s="129">
        <v>3.5</v>
      </c>
      <c r="K30" s="129">
        <v>15</v>
      </c>
      <c r="L30" s="129" t="s">
        <v>216</v>
      </c>
      <c r="O30" s="130">
        <v>0.17</v>
      </c>
      <c r="P30" s="116" t="s">
        <v>227</v>
      </c>
      <c r="T30" s="116">
        <v>0.40562168650595176</v>
      </c>
    </row>
    <row r="31" spans="6:20" x14ac:dyDescent="0.3">
      <c r="I31" s="134">
        <f>(I30*$H$60)*$O30</f>
        <v>0.73338000000000003</v>
      </c>
      <c r="J31" s="134">
        <f>(J30*$H$60)*$O30</f>
        <v>0.85560999999999998</v>
      </c>
      <c r="L31" s="116" t="s">
        <v>223</v>
      </c>
    </row>
    <row r="32" spans="6:20" x14ac:dyDescent="0.3">
      <c r="F32" s="116" t="s">
        <v>53</v>
      </c>
      <c r="G32" s="116" t="s">
        <v>114</v>
      </c>
      <c r="H32" s="132">
        <v>40</v>
      </c>
      <c r="I32" s="129">
        <v>3.5</v>
      </c>
      <c r="J32" s="129"/>
      <c r="K32" s="129"/>
      <c r="L32" s="129" t="s">
        <v>216</v>
      </c>
    </row>
    <row r="33" spans="6:18" x14ac:dyDescent="0.3">
      <c r="I33" s="134">
        <f>(I32*$H$60)*$O30</f>
        <v>0.85560999999999998</v>
      </c>
      <c r="J33" s="134">
        <f>(J32*$H$60)*$O30</f>
        <v>0</v>
      </c>
      <c r="K33" s="134">
        <f>(K32*$H$60)*$O30</f>
        <v>0</v>
      </c>
      <c r="L33" s="116" t="s">
        <v>223</v>
      </c>
      <c r="R33" s="157" t="s">
        <v>257</v>
      </c>
    </row>
    <row r="34" spans="6:18" x14ac:dyDescent="0.3">
      <c r="F34" s="116" t="s">
        <v>53</v>
      </c>
      <c r="G34" s="116" t="s">
        <v>228</v>
      </c>
      <c r="H34" s="132">
        <v>100</v>
      </c>
      <c r="I34" s="129">
        <v>0.01</v>
      </c>
      <c r="J34" s="129">
        <v>0.1</v>
      </c>
      <c r="K34" s="129"/>
      <c r="L34" s="129" t="s">
        <v>216</v>
      </c>
      <c r="O34" s="130">
        <v>3.2</v>
      </c>
      <c r="P34" s="116" t="s">
        <v>229</v>
      </c>
      <c r="R34" s="157" t="s">
        <v>258</v>
      </c>
    </row>
    <row r="35" spans="6:18" x14ac:dyDescent="0.3">
      <c r="I35" s="134">
        <f>(I34*$H$61)*$O34</f>
        <v>3.2000000000000001E-2</v>
      </c>
      <c r="J35" s="134">
        <f>(J34*$H$61)*$O34</f>
        <v>0.32000000000000006</v>
      </c>
      <c r="L35" s="116" t="s">
        <v>223</v>
      </c>
      <c r="R35" s="157"/>
    </row>
    <row r="36" spans="6:18" x14ac:dyDescent="0.3">
      <c r="F36" s="148" t="s">
        <v>143</v>
      </c>
      <c r="G36" s="148" t="s">
        <v>241</v>
      </c>
      <c r="I36" s="149">
        <v>0.4</v>
      </c>
      <c r="J36" s="150">
        <v>1.5</v>
      </c>
      <c r="K36" s="149"/>
      <c r="L36" s="129" t="s">
        <v>216</v>
      </c>
      <c r="O36" s="148"/>
      <c r="P36" s="148"/>
      <c r="R36" s="157" t="s">
        <v>259</v>
      </c>
    </row>
    <row r="37" spans="6:18" x14ac:dyDescent="0.3">
      <c r="I37" s="135">
        <f>(I36*$H$62)*$O34</f>
        <v>1.2800000000000002</v>
      </c>
      <c r="J37" s="151">
        <f>(J36*$H$62)*$O34</f>
        <v>4.8000000000000007</v>
      </c>
      <c r="K37" s="135">
        <f>(K36*$H$62)*$O34</f>
        <v>0</v>
      </c>
      <c r="L37" s="116" t="s">
        <v>223</v>
      </c>
      <c r="R37" s="157" t="s">
        <v>260</v>
      </c>
    </row>
    <row r="38" spans="6:18" x14ac:dyDescent="0.3">
      <c r="F38" s="116" t="s">
        <v>53</v>
      </c>
      <c r="G38" s="116" t="s">
        <v>221</v>
      </c>
      <c r="H38" s="132">
        <v>0.5</v>
      </c>
      <c r="I38" s="129">
        <f>M18/$G$18</f>
        <v>46</v>
      </c>
      <c r="J38" s="129">
        <f>L18/$G$18</f>
        <v>12.6</v>
      </c>
      <c r="K38" s="129">
        <f>N18/$G$18</f>
        <v>20</v>
      </c>
      <c r="L38" s="129" t="s">
        <v>216</v>
      </c>
      <c r="O38" s="130">
        <v>3</v>
      </c>
      <c r="P38" s="116" t="s">
        <v>222</v>
      </c>
      <c r="R38" s="86" t="s">
        <v>250</v>
      </c>
    </row>
    <row r="39" spans="6:18" x14ac:dyDescent="0.3">
      <c r="I39" s="134">
        <f>($G$18*I38)/1000*$O38</f>
        <v>0.69000000000000006</v>
      </c>
      <c r="J39" s="134">
        <f>($G$18*J38)/1000*$O38</f>
        <v>0.189</v>
      </c>
      <c r="K39" s="134">
        <f>($G$18*K38)/1000*$O38</f>
        <v>0.30000000000000004</v>
      </c>
      <c r="L39" s="116" t="s">
        <v>223</v>
      </c>
      <c r="R39" s="86"/>
    </row>
    <row r="40" spans="6:18" x14ac:dyDescent="0.3">
      <c r="F40" s="148" t="s">
        <v>240</v>
      </c>
      <c r="G40" s="116" t="s">
        <v>103</v>
      </c>
      <c r="H40" s="132">
        <v>96</v>
      </c>
      <c r="I40" s="129"/>
      <c r="J40" s="129"/>
      <c r="K40" s="129"/>
      <c r="L40" s="129" t="s">
        <v>216</v>
      </c>
      <c r="O40" s="130">
        <v>0.14000000000000001</v>
      </c>
      <c r="P40" s="116" t="s">
        <v>230</v>
      </c>
      <c r="R40" s="86" t="s">
        <v>251</v>
      </c>
    </row>
    <row r="41" spans="6:18" x14ac:dyDescent="0.3">
      <c r="I41" s="135">
        <f>(I40*$H$63)*$O40</f>
        <v>0</v>
      </c>
      <c r="J41" s="135">
        <f>(J40*$H$63)*$O40</f>
        <v>0</v>
      </c>
      <c r="K41" s="135">
        <f>(K40*$H$63)*$O40</f>
        <v>0</v>
      </c>
      <c r="L41" s="116" t="s">
        <v>223</v>
      </c>
      <c r="R41" s="86" t="s">
        <v>252</v>
      </c>
    </row>
    <row r="42" spans="6:18" x14ac:dyDescent="0.3">
      <c r="F42" s="148" t="s">
        <v>169</v>
      </c>
      <c r="G42" s="116" t="s">
        <v>103</v>
      </c>
      <c r="H42" s="132">
        <v>96</v>
      </c>
      <c r="I42" s="129">
        <v>8</v>
      </c>
      <c r="J42" s="129">
        <v>3</v>
      </c>
      <c r="K42" s="129">
        <v>6</v>
      </c>
      <c r="L42" s="129" t="s">
        <v>216</v>
      </c>
      <c r="Q42" s="148"/>
      <c r="R42" s="86" t="s">
        <v>253</v>
      </c>
    </row>
    <row r="43" spans="6:18" x14ac:dyDescent="0.3">
      <c r="I43" s="135">
        <f>(I42*$H$64)*$O40</f>
        <v>2.0608000000000004</v>
      </c>
      <c r="J43" s="135">
        <f>(J42*$H$64)*$O40</f>
        <v>0.77280000000000015</v>
      </c>
      <c r="K43" s="135">
        <f>(K42*$H$64)*$O40</f>
        <v>1.5456000000000003</v>
      </c>
      <c r="L43" s="116" t="s">
        <v>223</v>
      </c>
      <c r="R43" s="86"/>
    </row>
    <row r="44" spans="6:18" x14ac:dyDescent="0.3">
      <c r="F44" s="148" t="s">
        <v>244</v>
      </c>
      <c r="G44" s="116" t="s">
        <v>103</v>
      </c>
      <c r="H44" s="132">
        <v>37</v>
      </c>
      <c r="I44" s="129">
        <v>1.6</v>
      </c>
      <c r="J44" s="129"/>
      <c r="K44" s="129"/>
      <c r="L44" s="129" t="s">
        <v>216</v>
      </c>
      <c r="O44" s="130">
        <v>0.13</v>
      </c>
      <c r="P44" s="148" t="s">
        <v>246</v>
      </c>
      <c r="R44" s="86" t="s">
        <v>254</v>
      </c>
    </row>
    <row r="45" spans="6:18" x14ac:dyDescent="0.3">
      <c r="I45" s="134">
        <f>(I44*$H$65)*$O44</f>
        <v>0.26559520000000003</v>
      </c>
      <c r="J45" s="134">
        <f>(J44*$H$65)*$O44</f>
        <v>0</v>
      </c>
      <c r="K45" s="134">
        <f>(K44*$H$65)*$O44</f>
        <v>0</v>
      </c>
      <c r="L45" s="116" t="s">
        <v>223</v>
      </c>
      <c r="R45" s="86" t="s">
        <v>253</v>
      </c>
    </row>
    <row r="46" spans="6:18" x14ac:dyDescent="0.3">
      <c r="F46" s="148" t="s">
        <v>244</v>
      </c>
      <c r="G46" s="148" t="s">
        <v>54</v>
      </c>
      <c r="H46" s="132">
        <v>30</v>
      </c>
      <c r="I46" s="129">
        <v>0.55000000000000004</v>
      </c>
      <c r="J46" s="129"/>
      <c r="K46" s="129"/>
      <c r="L46" s="129" t="s">
        <v>216</v>
      </c>
      <c r="O46" s="130">
        <v>0.35</v>
      </c>
      <c r="P46" s="148" t="s">
        <v>247</v>
      </c>
      <c r="R46" s="156" t="s">
        <v>255</v>
      </c>
    </row>
    <row r="47" spans="6:18" x14ac:dyDescent="0.3">
      <c r="I47" s="134">
        <f>(I46*$H$66)*$O46</f>
        <v>0.25602500000000006</v>
      </c>
      <c r="J47" s="134">
        <f>(J46*$H$64)*$O44</f>
        <v>0</v>
      </c>
      <c r="K47" s="134">
        <f>(K46*$H$64)*$O44</f>
        <v>0</v>
      </c>
      <c r="L47" s="116" t="s">
        <v>223</v>
      </c>
      <c r="R47" s="156"/>
    </row>
    <row r="48" spans="6:18" x14ac:dyDescent="0.3">
      <c r="F48" s="246" t="s">
        <v>333</v>
      </c>
      <c r="G48" s="148"/>
      <c r="H48" s="132"/>
      <c r="I48" s="247">
        <f>I45+I47</f>
        <v>0.52162020000000009</v>
      </c>
      <c r="J48" s="247">
        <f>J45+J47</f>
        <v>0</v>
      </c>
      <c r="K48" s="247">
        <f>K45+K47</f>
        <v>0</v>
      </c>
      <c r="L48" s="129"/>
      <c r="R48" s="156" t="s">
        <v>256</v>
      </c>
    </row>
    <row r="49" spans="5:37" x14ac:dyDescent="0.3">
      <c r="F49" s="148" t="s">
        <v>245</v>
      </c>
      <c r="G49" s="116" t="s">
        <v>103</v>
      </c>
      <c r="H49" s="132">
        <v>96</v>
      </c>
      <c r="I49" s="129">
        <v>1.5</v>
      </c>
      <c r="J49" s="129">
        <v>13</v>
      </c>
      <c r="K49" s="129">
        <f>AVERAGE(13,1.5)</f>
        <v>7.25</v>
      </c>
      <c r="L49" s="129" t="s">
        <v>216</v>
      </c>
    </row>
    <row r="50" spans="5:37" x14ac:dyDescent="0.3">
      <c r="I50" s="134">
        <f>(I49*$H$65)*$O40</f>
        <v>0.26814900000000003</v>
      </c>
      <c r="J50" s="134">
        <f>(J49*$H$65)*$O40</f>
        <v>2.3239580000000002</v>
      </c>
      <c r="K50" s="134">
        <f>(K49*$H$65)*$O40</f>
        <v>1.2960535</v>
      </c>
      <c r="L50" s="116" t="s">
        <v>223</v>
      </c>
    </row>
    <row r="51" spans="5:37" x14ac:dyDescent="0.3">
      <c r="E51" s="246" t="s">
        <v>331</v>
      </c>
      <c r="F51" s="246" t="s">
        <v>59</v>
      </c>
      <c r="G51" s="116" t="s">
        <v>103</v>
      </c>
      <c r="H51" s="132">
        <v>96</v>
      </c>
      <c r="I51" s="129">
        <f>1/100</f>
        <v>0.01</v>
      </c>
      <c r="J51" s="129">
        <f>1/100</f>
        <v>0.01</v>
      </c>
      <c r="K51" s="129"/>
      <c r="L51" s="129" t="s">
        <v>216</v>
      </c>
      <c r="O51" s="130">
        <v>0.14000000000000001</v>
      </c>
      <c r="P51" s="116" t="s">
        <v>230</v>
      </c>
    </row>
    <row r="52" spans="5:37" x14ac:dyDescent="0.3">
      <c r="E52" s="246" t="s">
        <v>332</v>
      </c>
      <c r="H52" s="249"/>
      <c r="I52" s="134">
        <f>(I51*$H$65)*$O51</f>
        <v>1.7876599999999999E-3</v>
      </c>
      <c r="J52" s="134">
        <f t="shared" ref="J52" si="5">(J51*$H$65)*$O51</f>
        <v>1.7876599999999999E-3</v>
      </c>
      <c r="K52" s="134">
        <f>(K51*$H$65)*$O51</f>
        <v>0</v>
      </c>
      <c r="L52" s="116" t="s">
        <v>223</v>
      </c>
      <c r="Q52" s="148"/>
      <c r="R52" s="158" t="s">
        <v>261</v>
      </c>
    </row>
    <row r="53" spans="5:37" x14ac:dyDescent="0.3">
      <c r="F53" s="246" t="s">
        <v>59</v>
      </c>
      <c r="G53" s="246" t="s">
        <v>54</v>
      </c>
      <c r="H53" s="132">
        <v>50</v>
      </c>
      <c r="I53" s="129">
        <f>2/100</f>
        <v>0.02</v>
      </c>
      <c r="J53" s="129">
        <f>2/100</f>
        <v>0.02</v>
      </c>
      <c r="K53" s="129"/>
      <c r="L53" s="129" t="s">
        <v>216</v>
      </c>
      <c r="O53" s="130">
        <v>0.4</v>
      </c>
      <c r="P53" s="246" t="s">
        <v>338</v>
      </c>
      <c r="R53" s="86" t="s">
        <v>262</v>
      </c>
    </row>
    <row r="54" spans="5:37" x14ac:dyDescent="0.3">
      <c r="I54" s="134">
        <f t="shared" ref="I54:J54" si="6">(I53*$H$65)*$O53</f>
        <v>1.0215200000000001E-2</v>
      </c>
      <c r="J54" s="134">
        <f t="shared" si="6"/>
        <v>1.0215200000000001E-2</v>
      </c>
      <c r="K54" s="134">
        <f>(K53*$H$65)*$O53</f>
        <v>0</v>
      </c>
      <c r="L54" s="116" t="s">
        <v>223</v>
      </c>
      <c r="R54" s="86" t="s">
        <v>58</v>
      </c>
      <c r="AK54" s="166" t="s">
        <v>293</v>
      </c>
    </row>
    <row r="55" spans="5:37" x14ac:dyDescent="0.3">
      <c r="F55" s="246" t="s">
        <v>59</v>
      </c>
      <c r="G55" s="246" t="s">
        <v>337</v>
      </c>
      <c r="H55" s="132">
        <v>100</v>
      </c>
      <c r="I55" s="129">
        <f>(10000/100)-I53-I51</f>
        <v>99.97</v>
      </c>
      <c r="J55" s="129">
        <f>(10000/120)-J53-J51</f>
        <v>83.303333333333327</v>
      </c>
      <c r="K55" s="129"/>
      <c r="L55" s="129" t="s">
        <v>216</v>
      </c>
      <c r="R55" s="159" t="s">
        <v>263</v>
      </c>
    </row>
    <row r="56" spans="5:37" x14ac:dyDescent="0.3">
      <c r="I56" s="134">
        <f>(I55*$H$65)*$O46</f>
        <v>44.678092549999995</v>
      </c>
      <c r="J56" s="134">
        <f>(J55*$H$65)*$O46</f>
        <v>37.229509216666656</v>
      </c>
      <c r="K56" s="134">
        <f>(K55*$H$65)*$O46</f>
        <v>0</v>
      </c>
      <c r="L56" s="116" t="s">
        <v>223</v>
      </c>
      <c r="M56" s="246" t="s">
        <v>339</v>
      </c>
      <c r="N56" s="246" t="s">
        <v>339</v>
      </c>
      <c r="O56" s="246" t="s">
        <v>339</v>
      </c>
      <c r="R56" s="159" t="s">
        <v>264</v>
      </c>
    </row>
    <row r="57" spans="5:37" x14ac:dyDescent="0.3">
      <c r="H57" s="116" t="s">
        <v>231</v>
      </c>
      <c r="I57" s="532" t="s">
        <v>232</v>
      </c>
      <c r="J57" s="532"/>
      <c r="K57" s="532"/>
      <c r="M57" s="116">
        <v>1</v>
      </c>
      <c r="N57" s="116">
        <v>10000</v>
      </c>
      <c r="O57" s="116">
        <v>100000</v>
      </c>
      <c r="R57" s="86"/>
      <c r="W57" s="116" t="s">
        <v>234</v>
      </c>
      <c r="X57" s="116" t="s">
        <v>235</v>
      </c>
    </row>
    <row r="58" spans="5:37" x14ac:dyDescent="0.3">
      <c r="G58" s="116" t="s">
        <v>233</v>
      </c>
      <c r="H58" s="116">
        <v>1.52</v>
      </c>
      <c r="I58" s="116">
        <f>I26*$H$58</f>
        <v>6.84</v>
      </c>
      <c r="J58" s="116">
        <f>J26*$H$58</f>
        <v>1.3933333333333332E-3</v>
      </c>
      <c r="R58" s="86" t="s">
        <v>265</v>
      </c>
    </row>
    <row r="59" spans="5:37" x14ac:dyDescent="0.3">
      <c r="G59" s="261" t="s">
        <v>352</v>
      </c>
      <c r="H59" s="116">
        <v>1.28</v>
      </c>
      <c r="I59" s="116">
        <f>I28*$H$59</f>
        <v>2.2400000000000002</v>
      </c>
      <c r="N59" s="248" t="s">
        <v>334</v>
      </c>
      <c r="R59" s="86" t="s">
        <v>266</v>
      </c>
      <c r="W59" s="136" t="s">
        <v>236</v>
      </c>
    </row>
    <row r="60" spans="5:37" x14ac:dyDescent="0.3">
      <c r="G60" s="261" t="s">
        <v>353</v>
      </c>
      <c r="H60" s="116">
        <v>1.4379999999999999</v>
      </c>
      <c r="I60" s="116">
        <f>I30*$H$60</f>
        <v>4.3140000000000001</v>
      </c>
      <c r="J60" s="116">
        <f>J30*$H$60</f>
        <v>5.0329999999999995</v>
      </c>
      <c r="K60" s="116">
        <f>K30*$H$60</f>
        <v>21.57</v>
      </c>
      <c r="N60"/>
      <c r="R60" s="86" t="s">
        <v>267</v>
      </c>
    </row>
    <row r="61" spans="5:37" x14ac:dyDescent="0.3">
      <c r="F61" s="148" t="s">
        <v>53</v>
      </c>
      <c r="G61" s="261" t="s">
        <v>354</v>
      </c>
      <c r="H61" s="116">
        <v>1</v>
      </c>
      <c r="I61" s="116">
        <f>I34*$H$61</f>
        <v>0.01</v>
      </c>
      <c r="J61" s="116">
        <f>J34*$H$61</f>
        <v>0.1</v>
      </c>
      <c r="N61" s="248" t="s">
        <v>340</v>
      </c>
      <c r="R61" s="86"/>
      <c r="W61" s="137" t="s">
        <v>237</v>
      </c>
    </row>
    <row r="62" spans="5:37" x14ac:dyDescent="0.3">
      <c r="F62" s="148" t="s">
        <v>242</v>
      </c>
      <c r="G62" s="261" t="s">
        <v>354</v>
      </c>
      <c r="H62" s="116">
        <v>1</v>
      </c>
      <c r="I62" s="116">
        <f>I36*$H$62</f>
        <v>0.4</v>
      </c>
      <c r="J62" s="116">
        <f>J36*$H$62</f>
        <v>1.5</v>
      </c>
      <c r="K62" s="116">
        <f>K36*$H$62</f>
        <v>0</v>
      </c>
      <c r="N62"/>
      <c r="R62" s="86" t="s">
        <v>268</v>
      </c>
      <c r="W62" s="137"/>
    </row>
    <row r="63" spans="5:37" x14ac:dyDescent="0.3">
      <c r="F63" s="148" t="s">
        <v>243</v>
      </c>
      <c r="G63" s="261" t="s">
        <v>355</v>
      </c>
      <c r="H63" s="116">
        <v>1.84</v>
      </c>
      <c r="I63" s="116">
        <f>I40*$H$63</f>
        <v>0</v>
      </c>
      <c r="J63" s="116">
        <f>J40*$H$63</f>
        <v>0</v>
      </c>
      <c r="K63" s="116">
        <f>K40*$H$63</f>
        <v>0</v>
      </c>
      <c r="N63" s="248" t="s">
        <v>336</v>
      </c>
      <c r="R63" s="86" t="s">
        <v>269</v>
      </c>
      <c r="W63" s="137"/>
    </row>
    <row r="64" spans="5:37" x14ac:dyDescent="0.3">
      <c r="F64" s="148" t="s">
        <v>242</v>
      </c>
      <c r="G64" s="261" t="s">
        <v>355</v>
      </c>
      <c r="H64" s="116">
        <v>1.84</v>
      </c>
      <c r="I64" s="116">
        <f>I42*$H$64</f>
        <v>14.72</v>
      </c>
      <c r="J64" s="116">
        <f>J42*$H$64</f>
        <v>5.5200000000000005</v>
      </c>
      <c r="K64" s="116">
        <f>K42*$H$64</f>
        <v>11.040000000000001</v>
      </c>
      <c r="N64"/>
    </row>
    <row r="65" spans="1:45" x14ac:dyDescent="0.3">
      <c r="F65" s="148" t="s">
        <v>244</v>
      </c>
      <c r="G65" s="261" t="s">
        <v>356</v>
      </c>
      <c r="H65" s="116">
        <v>1.2768999999999999</v>
      </c>
      <c r="I65" s="152">
        <f>I44*$H$65</f>
        <v>2.04304</v>
      </c>
      <c r="J65" s="116">
        <f>J44*$H$65</f>
        <v>0</v>
      </c>
      <c r="K65" s="116">
        <f>K44*$H$65</f>
        <v>0</v>
      </c>
      <c r="L65" s="138">
        <v>789.14919852034552</v>
      </c>
      <c r="M65" s="116" t="s">
        <v>139</v>
      </c>
      <c r="N65" s="248" t="s">
        <v>335</v>
      </c>
      <c r="O65" s="116">
        <v>55.85</v>
      </c>
    </row>
    <row r="66" spans="1:45" x14ac:dyDescent="0.3">
      <c r="F66" s="148" t="s">
        <v>244</v>
      </c>
      <c r="G66" s="261" t="s">
        <v>357</v>
      </c>
      <c r="H66" s="116">
        <v>1.33</v>
      </c>
      <c r="I66" s="116">
        <f>I46*$H$66</f>
        <v>0.73150000000000015</v>
      </c>
      <c r="J66" s="116">
        <f>J46*$H$66</f>
        <v>0</v>
      </c>
      <c r="K66" s="116">
        <f>K46*$H$66</f>
        <v>0</v>
      </c>
      <c r="O66" s="116">
        <v>96.06</v>
      </c>
    </row>
    <row r="67" spans="1:45" x14ac:dyDescent="0.3">
      <c r="F67" s="148" t="s">
        <v>245</v>
      </c>
      <c r="G67" s="261" t="s">
        <v>355</v>
      </c>
      <c r="H67" s="116">
        <v>1.84</v>
      </c>
      <c r="I67" s="116">
        <f>I49*$H$67</f>
        <v>2.7600000000000002</v>
      </c>
      <c r="J67" s="116">
        <f>J49*$H$67</f>
        <v>23.92</v>
      </c>
      <c r="K67" s="116">
        <f>K49*$H$67</f>
        <v>13.34</v>
      </c>
      <c r="O67" s="116">
        <f>O65*2+O66*3</f>
        <v>399.88</v>
      </c>
      <c r="P67" s="116">
        <f>O67*L65</f>
        <v>315564.98150431574</v>
      </c>
    </row>
    <row r="68" spans="1:45" x14ac:dyDescent="0.3">
      <c r="F68" s="246" t="s">
        <v>59</v>
      </c>
      <c r="G68" s="261" t="s">
        <v>355</v>
      </c>
      <c r="H68" s="116">
        <v>1.84</v>
      </c>
      <c r="I68" s="116">
        <f>I51*$H$68</f>
        <v>1.84E-2</v>
      </c>
      <c r="J68" s="116">
        <f t="shared" ref="J68:K68" si="7">J51*$H$68</f>
        <v>1.84E-2</v>
      </c>
      <c r="K68" s="116">
        <f t="shared" si="7"/>
        <v>0</v>
      </c>
    </row>
    <row r="69" spans="1:45" x14ac:dyDescent="0.3">
      <c r="F69" s="246" t="s">
        <v>59</v>
      </c>
      <c r="G69" s="261" t="s">
        <v>358</v>
      </c>
      <c r="H69" s="116">
        <v>1.5149999999999999</v>
      </c>
      <c r="I69" s="116">
        <f>I53*$H$69</f>
        <v>3.0299999999999997E-2</v>
      </c>
      <c r="J69" s="116">
        <f t="shared" ref="J69:K69" si="8">J53*$H$69</f>
        <v>3.0299999999999997E-2</v>
      </c>
      <c r="K69" s="116">
        <f t="shared" si="8"/>
        <v>0</v>
      </c>
    </row>
    <row r="70" spans="1:45" x14ac:dyDescent="0.3">
      <c r="F70" s="246"/>
      <c r="AJ70" s="223" t="s">
        <v>318</v>
      </c>
      <c r="AK70" s="223"/>
    </row>
    <row r="71" spans="1:45" ht="21.3" x14ac:dyDescent="0.4">
      <c r="D71" s="193" t="s">
        <v>61</v>
      </c>
      <c r="N71" s="165"/>
      <c r="O71" s="165"/>
      <c r="P71" s="165"/>
      <c r="Q71" s="165"/>
      <c r="R71" s="165"/>
      <c r="S71" s="165"/>
      <c r="T71" s="165"/>
      <c r="U71" s="165"/>
      <c r="V71" s="166" t="s">
        <v>50</v>
      </c>
      <c r="W71" s="165"/>
      <c r="Z71" s="167"/>
      <c r="AA71" s="167"/>
      <c r="AB71" s="167"/>
      <c r="AC71" s="167"/>
      <c r="AD71" s="167"/>
      <c r="AE71" s="167"/>
      <c r="AF71" s="167"/>
      <c r="AG71" s="167"/>
      <c r="AH71" s="167"/>
      <c r="AJ71" s="167"/>
      <c r="AK71" s="166" t="s">
        <v>294</v>
      </c>
      <c r="AL71" s="166" t="s">
        <v>295</v>
      </c>
      <c r="AM71" s="166" t="s">
        <v>296</v>
      </c>
      <c r="AN71" s="166" t="s">
        <v>297</v>
      </c>
      <c r="AO71" s="166" t="s">
        <v>298</v>
      </c>
      <c r="AP71" s="166" t="s">
        <v>299</v>
      </c>
      <c r="AQ71" s="166" t="s">
        <v>300</v>
      </c>
      <c r="AR71" s="166" t="s">
        <v>301</v>
      </c>
      <c r="AS71" s="167"/>
    </row>
    <row r="72" spans="1:45" x14ac:dyDescent="0.3">
      <c r="D72" s="166"/>
      <c r="E72" s="166"/>
      <c r="F72" s="166"/>
      <c r="G72" s="166"/>
      <c r="H72" s="166"/>
      <c r="I72" s="166"/>
      <c r="J72" s="166"/>
      <c r="K72" s="165"/>
      <c r="N72" s="165"/>
      <c r="O72" s="165"/>
      <c r="P72" s="168" t="s">
        <v>294</v>
      </c>
      <c r="Q72" s="168" t="s">
        <v>295</v>
      </c>
      <c r="R72" s="168" t="s">
        <v>296</v>
      </c>
      <c r="S72" s="168" t="s">
        <v>297</v>
      </c>
      <c r="T72" s="168" t="s">
        <v>298</v>
      </c>
      <c r="U72" s="168" t="s">
        <v>299</v>
      </c>
      <c r="V72" s="168" t="s">
        <v>300</v>
      </c>
      <c r="W72" s="168" t="s">
        <v>301</v>
      </c>
      <c r="Z72" s="167"/>
      <c r="AA72" s="166" t="s">
        <v>294</v>
      </c>
      <c r="AB72" s="166" t="s">
        <v>295</v>
      </c>
      <c r="AC72" s="166" t="s">
        <v>296</v>
      </c>
      <c r="AD72" s="166" t="s">
        <v>297</v>
      </c>
      <c r="AE72" s="166" t="s">
        <v>298</v>
      </c>
      <c r="AF72" s="166" t="s">
        <v>299</v>
      </c>
      <c r="AG72" s="166" t="s">
        <v>300</v>
      </c>
      <c r="AH72" s="166" t="s">
        <v>301</v>
      </c>
      <c r="AJ72" s="167"/>
      <c r="AK72" s="168" t="s">
        <v>52</v>
      </c>
      <c r="AL72" s="168" t="s">
        <v>52</v>
      </c>
      <c r="AM72" s="168" t="s">
        <v>52</v>
      </c>
      <c r="AN72" s="168" t="s">
        <v>52</v>
      </c>
      <c r="AO72" s="168" t="s">
        <v>52</v>
      </c>
      <c r="AP72" s="168" t="s">
        <v>52</v>
      </c>
      <c r="AQ72" s="168" t="s">
        <v>52</v>
      </c>
      <c r="AR72" s="168" t="s">
        <v>52</v>
      </c>
      <c r="AS72" s="167"/>
    </row>
    <row r="73" spans="1:45" ht="15.65" thickBot="1" x14ac:dyDescent="0.35">
      <c r="D73" s="166"/>
      <c r="E73" s="166"/>
      <c r="F73" s="166"/>
      <c r="G73" s="166"/>
      <c r="H73" s="166"/>
      <c r="I73" s="166"/>
      <c r="J73" s="166"/>
      <c r="K73" s="165"/>
      <c r="N73" s="165"/>
      <c r="O73" s="165"/>
      <c r="P73" s="168" t="s">
        <v>288</v>
      </c>
      <c r="Q73" s="168" t="s">
        <v>288</v>
      </c>
      <c r="R73" s="168" t="s">
        <v>288</v>
      </c>
      <c r="S73" s="168" t="s">
        <v>288</v>
      </c>
      <c r="T73" s="168" t="s">
        <v>288</v>
      </c>
      <c r="U73" s="168" t="s">
        <v>288</v>
      </c>
      <c r="V73" s="168" t="s">
        <v>288</v>
      </c>
      <c r="W73" s="168" t="s">
        <v>288</v>
      </c>
      <c r="X73" s="223" t="s">
        <v>314</v>
      </c>
      <c r="Z73" s="167"/>
      <c r="AA73" s="166" t="s">
        <v>290</v>
      </c>
      <c r="AB73" s="166" t="s">
        <v>290</v>
      </c>
      <c r="AC73" s="166" t="s">
        <v>290</v>
      </c>
      <c r="AD73" s="166" t="s">
        <v>290</v>
      </c>
      <c r="AE73" s="166" t="s">
        <v>290</v>
      </c>
      <c r="AF73" s="166" t="s">
        <v>290</v>
      </c>
      <c r="AG73" s="166" t="s">
        <v>290</v>
      </c>
      <c r="AH73" s="166" t="s">
        <v>290</v>
      </c>
      <c r="AJ73" s="167"/>
      <c r="AK73" s="166">
        <v>8.3000000000000007</v>
      </c>
      <c r="AL73" s="166">
        <v>8.3000000000000007</v>
      </c>
      <c r="AM73" s="166">
        <v>8.6</v>
      </c>
      <c r="AN73" s="166">
        <v>8.5</v>
      </c>
      <c r="AO73" s="166">
        <v>8.35</v>
      </c>
      <c r="AP73" s="166">
        <v>8.35</v>
      </c>
      <c r="AQ73" s="166">
        <v>8.3000000000000007</v>
      </c>
      <c r="AR73" s="166">
        <v>8.1</v>
      </c>
      <c r="AS73" s="167"/>
    </row>
    <row r="74" spans="1:45" x14ac:dyDescent="0.3">
      <c r="A74" s="216" t="s">
        <v>99</v>
      </c>
      <c r="B74" s="195"/>
      <c r="C74" s="195"/>
      <c r="D74" s="195"/>
      <c r="E74" s="194"/>
      <c r="F74" s="195"/>
      <c r="G74" s="195"/>
      <c r="H74" s="195"/>
      <c r="I74" s="195"/>
      <c r="J74" s="196"/>
      <c r="K74" s="165"/>
      <c r="N74" s="166" t="s">
        <v>51</v>
      </c>
      <c r="O74" s="165"/>
      <c r="P74" s="166"/>
      <c r="Q74" s="166"/>
      <c r="R74" s="166"/>
      <c r="S74" s="166"/>
      <c r="T74" s="166"/>
      <c r="U74" s="166"/>
      <c r="V74" s="166"/>
      <c r="W74" s="166"/>
      <c r="Z74" s="167"/>
      <c r="AA74" s="166">
        <v>8.3000000000000007</v>
      </c>
      <c r="AB74" s="166">
        <v>8.3000000000000007</v>
      </c>
      <c r="AC74" s="166">
        <v>8.6</v>
      </c>
      <c r="AD74" s="166">
        <v>8.5</v>
      </c>
      <c r="AE74" s="166">
        <v>8.35</v>
      </c>
      <c r="AF74" s="166">
        <v>8.35</v>
      </c>
      <c r="AG74" s="166">
        <v>8.3000000000000007</v>
      </c>
      <c r="AH74" s="166">
        <v>8.1</v>
      </c>
      <c r="AJ74" s="166" t="s">
        <v>51</v>
      </c>
      <c r="AK74" s="166">
        <v>380</v>
      </c>
      <c r="AL74" s="166">
        <v>2400</v>
      </c>
      <c r="AM74" s="166">
        <v>130</v>
      </c>
      <c r="AN74" s="166">
        <v>250</v>
      </c>
      <c r="AO74" s="166">
        <v>200</v>
      </c>
      <c r="AP74" s="166">
        <v>150</v>
      </c>
      <c r="AQ74" s="166">
        <v>20</v>
      </c>
      <c r="AR74" s="166">
        <v>190</v>
      </c>
      <c r="AS74" s="167"/>
    </row>
    <row r="75" spans="1:45" x14ac:dyDescent="0.3">
      <c r="A75" s="197" t="s">
        <v>98</v>
      </c>
      <c r="B75" s="203"/>
      <c r="C75" s="257" t="s">
        <v>343</v>
      </c>
      <c r="E75" s="198"/>
      <c r="F75" s="198">
        <v>98.08</v>
      </c>
      <c r="G75" s="199" t="s">
        <v>172</v>
      </c>
      <c r="H75" s="198"/>
      <c r="I75" s="198"/>
      <c r="J75" s="200"/>
      <c r="K75" s="166"/>
      <c r="N75" s="165"/>
      <c r="O75" s="165"/>
      <c r="P75" s="166"/>
      <c r="Q75" s="166"/>
      <c r="R75" s="166"/>
      <c r="S75" s="166"/>
      <c r="T75" s="166"/>
      <c r="U75" s="166"/>
      <c r="V75" s="166"/>
      <c r="W75" s="166"/>
      <c r="Z75" s="166" t="s">
        <v>51</v>
      </c>
      <c r="AA75" s="166">
        <v>350</v>
      </c>
      <c r="AB75" s="166">
        <v>2400</v>
      </c>
      <c r="AC75" s="166">
        <v>100</v>
      </c>
      <c r="AD75" s="166">
        <v>250</v>
      </c>
      <c r="AE75" s="166">
        <v>200</v>
      </c>
      <c r="AF75" s="166">
        <v>200</v>
      </c>
      <c r="AG75" s="166">
        <v>0</v>
      </c>
      <c r="AH75" s="166">
        <v>180</v>
      </c>
      <c r="AJ75" s="166">
        <v>8</v>
      </c>
      <c r="AK75" s="166">
        <v>390</v>
      </c>
      <c r="AL75" s="166">
        <v>2300</v>
      </c>
      <c r="AM75" s="166">
        <v>170</v>
      </c>
      <c r="AN75" s="166">
        <v>300</v>
      </c>
      <c r="AO75" s="166">
        <v>200</v>
      </c>
      <c r="AP75" s="166">
        <v>190</v>
      </c>
      <c r="AQ75" s="166">
        <v>50</v>
      </c>
      <c r="AR75" s="166">
        <v>210</v>
      </c>
      <c r="AS75" s="167"/>
    </row>
    <row r="76" spans="1:45" x14ac:dyDescent="0.3">
      <c r="C76" s="132"/>
      <c r="D76" s="201" t="s">
        <v>103</v>
      </c>
      <c r="E76" s="202">
        <v>0.96</v>
      </c>
      <c r="F76" s="199">
        <v>1.84</v>
      </c>
      <c r="G76" s="199" t="s">
        <v>56</v>
      </c>
      <c r="H76" s="203"/>
      <c r="I76" s="203"/>
      <c r="J76" s="200"/>
      <c r="K76" s="166"/>
      <c r="N76" s="166">
        <v>8</v>
      </c>
      <c r="O76" s="165"/>
      <c r="P76" s="166">
        <v>20</v>
      </c>
      <c r="Q76" s="166">
        <v>20</v>
      </c>
      <c r="R76" s="166">
        <v>50</v>
      </c>
      <c r="S76" s="166">
        <v>40</v>
      </c>
      <c r="T76" s="166">
        <v>10</v>
      </c>
      <c r="U76" s="166">
        <v>30</v>
      </c>
      <c r="V76" s="166">
        <v>30</v>
      </c>
      <c r="W76" s="166">
        <v>10</v>
      </c>
      <c r="X76" s="116">
        <f>AVERAGE(P76:W76)</f>
        <v>26.25</v>
      </c>
      <c r="Z76" s="166">
        <v>8</v>
      </c>
      <c r="AA76" s="166">
        <v>350</v>
      </c>
      <c r="AB76" s="166">
        <v>2300</v>
      </c>
      <c r="AC76" s="166">
        <v>100</v>
      </c>
      <c r="AD76" s="166">
        <v>300</v>
      </c>
      <c r="AE76" s="166">
        <v>200</v>
      </c>
      <c r="AF76" s="166">
        <v>200</v>
      </c>
      <c r="AG76" s="166">
        <v>50</v>
      </c>
      <c r="AH76" s="166">
        <v>200</v>
      </c>
      <c r="AJ76" s="166">
        <v>7.5</v>
      </c>
      <c r="AK76" s="166">
        <v>400</v>
      </c>
      <c r="AL76" s="166">
        <v>2200</v>
      </c>
      <c r="AM76" s="166">
        <v>200</v>
      </c>
      <c r="AN76" s="166">
        <v>310</v>
      </c>
      <c r="AO76" s="166">
        <v>250</v>
      </c>
      <c r="AP76" s="166">
        <v>250</v>
      </c>
      <c r="AQ76" s="166">
        <v>60</v>
      </c>
      <c r="AR76" s="166">
        <v>300</v>
      </c>
      <c r="AS76" s="167"/>
    </row>
    <row r="77" spans="1:45" x14ac:dyDescent="0.3">
      <c r="A77" s="260" t="s">
        <v>351</v>
      </c>
      <c r="C77" s="258">
        <f>C78/F76</f>
        <v>2.4986413043478262</v>
      </c>
      <c r="D77" s="197" t="s">
        <v>307</v>
      </c>
      <c r="E77" s="198">
        <v>17</v>
      </c>
      <c r="F77" s="198">
        <v>22</v>
      </c>
      <c r="G77" s="203">
        <v>25</v>
      </c>
      <c r="H77" s="198">
        <v>26</v>
      </c>
      <c r="I77" s="204">
        <v>32</v>
      </c>
      <c r="J77" s="205">
        <f>J78/$F$76</f>
        <v>21.978430706521738</v>
      </c>
      <c r="N77" s="166">
        <v>7.5</v>
      </c>
      <c r="O77" s="165"/>
      <c r="P77" s="166">
        <v>30</v>
      </c>
      <c r="Q77" s="166">
        <v>30</v>
      </c>
      <c r="R77" s="166">
        <v>50</v>
      </c>
      <c r="S77" s="166">
        <v>50</v>
      </c>
      <c r="T77" s="166">
        <v>50</v>
      </c>
      <c r="U77" s="166">
        <v>70</v>
      </c>
      <c r="V77" s="166">
        <v>50</v>
      </c>
      <c r="W77" s="166">
        <v>50</v>
      </c>
      <c r="X77" s="116">
        <f t="shared" ref="X77:X84" si="9">AVERAGE(P77:W77)</f>
        <v>47.5</v>
      </c>
      <c r="Z77" s="166">
        <v>7.5</v>
      </c>
      <c r="AA77" s="168">
        <v>400</v>
      </c>
      <c r="AB77" s="168">
        <v>2200</v>
      </c>
      <c r="AC77" s="168">
        <v>150</v>
      </c>
      <c r="AD77" s="168">
        <v>300</v>
      </c>
      <c r="AE77" s="168">
        <v>250</v>
      </c>
      <c r="AF77" s="168">
        <v>250</v>
      </c>
      <c r="AG77" s="168">
        <v>60</v>
      </c>
      <c r="AH77" s="168">
        <v>300</v>
      </c>
      <c r="AJ77" s="166">
        <v>7</v>
      </c>
      <c r="AK77" s="166">
        <v>450</v>
      </c>
      <c r="AL77" s="166">
        <v>2150</v>
      </c>
      <c r="AM77" s="166">
        <v>250</v>
      </c>
      <c r="AN77" s="166">
        <v>400</v>
      </c>
      <c r="AO77" s="166">
        <v>390</v>
      </c>
      <c r="AP77" s="166">
        <v>330</v>
      </c>
      <c r="AQ77" s="166">
        <v>100</v>
      </c>
      <c r="AR77" s="166">
        <v>300</v>
      </c>
      <c r="AS77" s="167"/>
    </row>
    <row r="78" spans="1:45" x14ac:dyDescent="0.3">
      <c r="A78" s="260" t="s">
        <v>270</v>
      </c>
      <c r="C78" s="259">
        <f>((C81/$E$76/1000*$F$75)*1000)/2</f>
        <v>4.5975000000000001</v>
      </c>
      <c r="D78" s="197" t="s">
        <v>308</v>
      </c>
      <c r="E78" s="206">
        <f>((E79/$E$76/1000*$F$75)*1000)/2</f>
        <v>30.841562499999998</v>
      </c>
      <c r="F78" s="198">
        <f t="shared" ref="F78:G78" si="10">F77*$F$76</f>
        <v>40.480000000000004</v>
      </c>
      <c r="G78" s="198">
        <f t="shared" si="10"/>
        <v>46</v>
      </c>
      <c r="H78" s="198">
        <f>H77*$F$76</f>
        <v>47.84</v>
      </c>
      <c r="I78" s="204">
        <f>I77*$F$76</f>
        <v>58.88</v>
      </c>
      <c r="J78" s="205">
        <f>((J79/$E$76/1000*$F$75)*1000)/2</f>
        <v>40.440312499999997</v>
      </c>
      <c r="N78" s="166">
        <v>7</v>
      </c>
      <c r="O78" s="165"/>
      <c r="P78" s="166">
        <v>70</v>
      </c>
      <c r="Q78" s="166">
        <v>110</v>
      </c>
      <c r="R78" s="166">
        <v>110</v>
      </c>
      <c r="S78" s="166">
        <v>120</v>
      </c>
      <c r="T78" s="166">
        <v>990</v>
      </c>
      <c r="U78" s="166">
        <v>130</v>
      </c>
      <c r="V78" s="166">
        <v>110</v>
      </c>
      <c r="W78" s="166">
        <v>110</v>
      </c>
      <c r="X78" s="116">
        <f t="shared" si="9"/>
        <v>218.75</v>
      </c>
      <c r="Z78" s="166">
        <v>7</v>
      </c>
      <c r="AA78" s="166">
        <v>450</v>
      </c>
      <c r="AB78" s="166">
        <v>2180</v>
      </c>
      <c r="AC78" s="166">
        <v>200</v>
      </c>
      <c r="AD78" s="166">
        <v>400</v>
      </c>
      <c r="AE78" s="166">
        <v>350</v>
      </c>
      <c r="AF78" s="166">
        <v>350</v>
      </c>
      <c r="AG78" s="166">
        <v>70</v>
      </c>
      <c r="AH78" s="166">
        <v>300</v>
      </c>
      <c r="AJ78" s="166">
        <v>6.5</v>
      </c>
      <c r="AK78" s="166">
        <v>900</v>
      </c>
      <c r="AL78" s="166">
        <v>2250</v>
      </c>
      <c r="AM78" s="166">
        <v>450</v>
      </c>
      <c r="AN78" s="166">
        <v>630</v>
      </c>
      <c r="AO78" s="166">
        <v>650</v>
      </c>
      <c r="AP78" s="166">
        <v>540</v>
      </c>
      <c r="AQ78" s="166">
        <v>250</v>
      </c>
      <c r="AR78" s="166">
        <v>650</v>
      </c>
      <c r="AS78" s="167"/>
    </row>
    <row r="79" spans="1:45" x14ac:dyDescent="0.3">
      <c r="C79" s="132"/>
      <c r="D79" s="197" t="s">
        <v>60</v>
      </c>
      <c r="E79" s="208">
        <f>AVERAGE(P83:W83)/1000</f>
        <v>0.60375000000000001</v>
      </c>
      <c r="F79" s="208">
        <f>((F78*$E$76*1000/$F$75)/1000)*2</f>
        <v>0.79243066884176183</v>
      </c>
      <c r="G79" s="208">
        <f>((G78*$E$76*1000/$F$75)/1000)*2</f>
        <v>0.90048939641109305</v>
      </c>
      <c r="H79" s="208">
        <f>((H77*$E$76*1000/$F$75)/1000)*2</f>
        <v>0.50897226753670477</v>
      </c>
      <c r="I79" s="209">
        <f>((I78*$E$76*1000/$F$75)/1000)*2</f>
        <v>1.1526264274061988</v>
      </c>
      <c r="J79" s="210">
        <f>AVERAGE(G79,F79,E79,H79,I79)</f>
        <v>0.79165375203915167</v>
      </c>
      <c r="N79" s="166">
        <v>6.5</v>
      </c>
      <c r="O79" s="165"/>
      <c r="P79" s="166">
        <v>250</v>
      </c>
      <c r="Q79" s="166">
        <v>270</v>
      </c>
      <c r="R79" s="166">
        <v>270</v>
      </c>
      <c r="S79" s="166">
        <v>360</v>
      </c>
      <c r="T79" s="166">
        <v>190</v>
      </c>
      <c r="U79" s="166">
        <v>240</v>
      </c>
      <c r="V79" s="166">
        <v>150</v>
      </c>
      <c r="W79" s="166">
        <v>220</v>
      </c>
      <c r="X79" s="116">
        <f t="shared" si="9"/>
        <v>243.75</v>
      </c>
      <c r="Z79" s="166">
        <v>6.5</v>
      </c>
      <c r="AA79" s="166">
        <v>950</v>
      </c>
      <c r="AB79" s="166">
        <v>2250</v>
      </c>
      <c r="AC79" s="166">
        <v>450</v>
      </c>
      <c r="AD79" s="166">
        <v>650</v>
      </c>
      <c r="AE79" s="166">
        <v>650</v>
      </c>
      <c r="AF79" s="166">
        <v>650</v>
      </c>
      <c r="AG79" s="166">
        <v>210</v>
      </c>
      <c r="AH79" s="166">
        <v>650</v>
      </c>
      <c r="AJ79" s="166">
        <v>6</v>
      </c>
      <c r="AK79" s="166">
        <v>2370</v>
      </c>
      <c r="AL79" s="166">
        <v>3330</v>
      </c>
      <c r="AM79" s="166">
        <v>1100</v>
      </c>
      <c r="AN79" s="166">
        <v>1800</v>
      </c>
      <c r="AO79" s="166">
        <v>1250</v>
      </c>
      <c r="AP79" s="166">
        <v>900</v>
      </c>
      <c r="AQ79" s="166">
        <v>670</v>
      </c>
      <c r="AR79" s="166">
        <v>1680</v>
      </c>
      <c r="AS79" s="167"/>
    </row>
    <row r="80" spans="1:45" x14ac:dyDescent="0.3">
      <c r="A80" s="116">
        <f>30</f>
        <v>30</v>
      </c>
      <c r="B80" s="197" t="s">
        <v>348</v>
      </c>
      <c r="C80" s="258">
        <v>3</v>
      </c>
      <c r="E80" s="208"/>
      <c r="F80" s="208"/>
      <c r="G80" s="208"/>
      <c r="H80" s="208"/>
      <c r="I80" s="209"/>
      <c r="J80" s="210"/>
      <c r="N80" s="166"/>
      <c r="O80" s="255"/>
      <c r="P80" s="166"/>
      <c r="Q80" s="166"/>
      <c r="R80" s="166"/>
      <c r="S80" s="166"/>
      <c r="T80" s="166"/>
      <c r="U80" s="166"/>
      <c r="V80" s="166"/>
      <c r="W80" s="166"/>
      <c r="Z80" s="166"/>
      <c r="AA80" s="166"/>
      <c r="AB80" s="166"/>
      <c r="AC80" s="166"/>
      <c r="AD80" s="166"/>
      <c r="AE80" s="166"/>
      <c r="AF80" s="166"/>
      <c r="AG80" s="166"/>
      <c r="AH80" s="166"/>
      <c r="AJ80" s="166"/>
      <c r="AK80" s="166"/>
      <c r="AL80" s="166"/>
      <c r="AM80" s="166"/>
      <c r="AN80" s="166"/>
      <c r="AO80" s="166"/>
      <c r="AP80" s="166"/>
      <c r="AQ80" s="166"/>
      <c r="AR80" s="166"/>
      <c r="AS80" s="255"/>
    </row>
    <row r="81" spans="1:45" x14ac:dyDescent="0.3">
      <c r="A81" s="260" t="s">
        <v>350</v>
      </c>
      <c r="B81" s="197" t="s">
        <v>349</v>
      </c>
      <c r="C81" s="116">
        <f>C80*(A80/1000)</f>
        <v>0.09</v>
      </c>
      <c r="E81" s="208"/>
      <c r="F81" s="208"/>
      <c r="G81" s="208"/>
      <c r="H81" s="208"/>
      <c r="I81" s="208"/>
      <c r="J81" s="211"/>
      <c r="K81" s="166"/>
      <c r="N81" s="166">
        <v>6</v>
      </c>
      <c r="O81" s="165"/>
      <c r="P81" s="166">
        <v>430</v>
      </c>
      <c r="Q81" s="166">
        <v>450</v>
      </c>
      <c r="R81" s="166">
        <v>410</v>
      </c>
      <c r="S81" s="166">
        <v>540</v>
      </c>
      <c r="T81" s="166">
        <v>340</v>
      </c>
      <c r="U81" s="166">
        <v>360</v>
      </c>
      <c r="V81" s="166">
        <v>280</v>
      </c>
      <c r="W81" s="166">
        <v>390</v>
      </c>
      <c r="X81" s="116">
        <f t="shared" si="9"/>
        <v>400</v>
      </c>
      <c r="Z81" s="166">
        <v>6</v>
      </c>
      <c r="AA81" s="166">
        <v>2350</v>
      </c>
      <c r="AB81" s="166">
        <v>3300</v>
      </c>
      <c r="AC81" s="166">
        <v>1100</v>
      </c>
      <c r="AD81" s="166">
        <v>1800</v>
      </c>
      <c r="AE81" s="166">
        <v>1250</v>
      </c>
      <c r="AF81" s="166">
        <v>1250</v>
      </c>
      <c r="AG81" s="166">
        <v>690</v>
      </c>
      <c r="AH81" s="166">
        <v>1700</v>
      </c>
      <c r="AJ81" s="166">
        <v>5.5</v>
      </c>
      <c r="AK81" s="166">
        <v>4050</v>
      </c>
      <c r="AL81" s="166">
        <v>4130</v>
      </c>
      <c r="AM81" s="166">
        <v>1600</v>
      </c>
      <c r="AN81" s="166">
        <v>3100</v>
      </c>
      <c r="AO81" s="166">
        <v>2290</v>
      </c>
      <c r="AP81" s="166">
        <v>1760</v>
      </c>
      <c r="AQ81" s="166">
        <v>720</v>
      </c>
      <c r="AR81" s="166">
        <v>3250</v>
      </c>
      <c r="AS81" s="167"/>
    </row>
    <row r="82" spans="1:45" x14ac:dyDescent="0.3">
      <c r="A82" s="197" t="s">
        <v>103</v>
      </c>
      <c r="B82" s="203"/>
      <c r="C82" s="203"/>
      <c r="D82" s="203"/>
      <c r="E82" s="202">
        <v>0.5</v>
      </c>
      <c r="F82" s="198">
        <v>1.3951</v>
      </c>
      <c r="G82" s="199" t="s">
        <v>56</v>
      </c>
      <c r="H82" s="198"/>
      <c r="I82" s="203"/>
      <c r="J82" s="200"/>
      <c r="K82" s="166"/>
      <c r="N82" s="166">
        <v>5.5</v>
      </c>
      <c r="O82" s="165"/>
      <c r="P82" s="166">
        <v>610</v>
      </c>
      <c r="Q82" s="166">
        <v>570</v>
      </c>
      <c r="R82" s="166">
        <v>490</v>
      </c>
      <c r="S82" s="166">
        <v>720</v>
      </c>
      <c r="T82" s="166">
        <v>460</v>
      </c>
      <c r="U82" s="166">
        <v>490</v>
      </c>
      <c r="V82" s="166">
        <v>330</v>
      </c>
      <c r="W82" s="166">
        <v>520</v>
      </c>
      <c r="X82" s="116">
        <f t="shared" si="9"/>
        <v>523.75</v>
      </c>
      <c r="Z82" s="166">
        <v>5.5</v>
      </c>
      <c r="AA82" s="166">
        <v>4050</v>
      </c>
      <c r="AB82" s="166">
        <v>4100</v>
      </c>
      <c r="AC82" s="166">
        <v>1550</v>
      </c>
      <c r="AD82" s="166">
        <v>3100</v>
      </c>
      <c r="AE82" s="166">
        <v>2350</v>
      </c>
      <c r="AF82" s="166">
        <v>2350</v>
      </c>
      <c r="AG82" s="166">
        <v>750</v>
      </c>
      <c r="AH82" s="166">
        <v>3250</v>
      </c>
      <c r="AJ82" s="166">
        <v>5</v>
      </c>
      <c r="AK82" s="166">
        <v>4700</v>
      </c>
      <c r="AL82" s="166">
        <v>4200</v>
      </c>
      <c r="AM82" s="166">
        <v>1900</v>
      </c>
      <c r="AN82" s="166">
        <v>3190</v>
      </c>
      <c r="AO82" s="166">
        <v>2830</v>
      </c>
      <c r="AP82" s="166">
        <v>2050</v>
      </c>
      <c r="AQ82" s="166">
        <v>760</v>
      </c>
      <c r="AR82" s="166">
        <v>4640</v>
      </c>
      <c r="AS82" s="167"/>
    </row>
    <row r="83" spans="1:45" x14ac:dyDescent="0.3">
      <c r="A83" s="197" t="s">
        <v>307</v>
      </c>
      <c r="B83" s="203"/>
      <c r="C83" s="203"/>
      <c r="D83" s="203"/>
      <c r="E83" s="199"/>
      <c r="F83" s="198"/>
      <c r="G83" s="198"/>
      <c r="H83" s="198"/>
      <c r="I83" s="198"/>
      <c r="J83" s="200"/>
      <c r="K83" s="166"/>
      <c r="N83" s="170">
        <v>5</v>
      </c>
      <c r="O83" s="191"/>
      <c r="P83" s="170">
        <v>730</v>
      </c>
      <c r="Q83" s="170">
        <v>650</v>
      </c>
      <c r="R83" s="170">
        <v>540</v>
      </c>
      <c r="S83" s="170">
        <v>820</v>
      </c>
      <c r="T83" s="170">
        <v>540</v>
      </c>
      <c r="U83" s="170">
        <v>540</v>
      </c>
      <c r="V83" s="170">
        <v>350</v>
      </c>
      <c r="W83" s="170">
        <v>660</v>
      </c>
      <c r="X83" s="116">
        <f t="shared" si="9"/>
        <v>603.75</v>
      </c>
      <c r="Z83" s="170">
        <v>5</v>
      </c>
      <c r="AA83" s="170">
        <v>4700</v>
      </c>
      <c r="AB83" s="170">
        <v>4200</v>
      </c>
      <c r="AC83" s="170">
        <v>1900</v>
      </c>
      <c r="AD83" s="170">
        <v>3190</v>
      </c>
      <c r="AE83" s="170">
        <v>2850</v>
      </c>
      <c r="AF83" s="170">
        <v>2850</v>
      </c>
      <c r="AG83" s="170">
        <v>790</v>
      </c>
      <c r="AH83" s="170">
        <v>4650</v>
      </c>
      <c r="AJ83" s="166">
        <v>4.5</v>
      </c>
      <c r="AK83" s="166">
        <v>4780</v>
      </c>
      <c r="AL83" s="166">
        <v>4140</v>
      </c>
      <c r="AM83" s="166">
        <v>2000</v>
      </c>
      <c r="AN83" s="166">
        <v>3150</v>
      </c>
      <c r="AO83" s="166">
        <v>2990</v>
      </c>
      <c r="AP83" s="166">
        <v>2240</v>
      </c>
      <c r="AQ83" s="166">
        <v>780</v>
      </c>
      <c r="AR83" s="166">
        <v>4780</v>
      </c>
      <c r="AS83" s="167"/>
    </row>
    <row r="84" spans="1:45" x14ac:dyDescent="0.3">
      <c r="A84" s="197" t="s">
        <v>308</v>
      </c>
      <c r="B84" s="203"/>
      <c r="C84" s="203"/>
      <c r="D84" s="203"/>
      <c r="E84" s="198"/>
      <c r="F84" s="198"/>
      <c r="G84" s="198"/>
      <c r="H84" s="130">
        <v>0.14000000000000001</v>
      </c>
      <c r="I84" s="116" t="s">
        <v>230</v>
      </c>
      <c r="J84" s="213"/>
      <c r="K84" s="165"/>
      <c r="N84" s="166">
        <v>4.5</v>
      </c>
      <c r="O84" s="165"/>
      <c r="P84" s="166">
        <v>810</v>
      </c>
      <c r="Q84" s="166">
        <v>680</v>
      </c>
      <c r="R84" s="166">
        <v>570</v>
      </c>
      <c r="S84" s="166">
        <v>890</v>
      </c>
      <c r="T84" s="166">
        <v>570</v>
      </c>
      <c r="U84" s="166">
        <v>580</v>
      </c>
      <c r="V84" s="166">
        <v>370</v>
      </c>
      <c r="W84" s="166">
        <v>730</v>
      </c>
      <c r="X84" s="116">
        <f t="shared" si="9"/>
        <v>650</v>
      </c>
      <c r="Z84" s="166">
        <v>4.5</v>
      </c>
      <c r="AA84" s="166">
        <v>4790</v>
      </c>
      <c r="AB84" s="168">
        <v>4100</v>
      </c>
      <c r="AC84" s="166">
        <v>2000</v>
      </c>
      <c r="AD84" s="166">
        <v>3190</v>
      </c>
      <c r="AE84" s="166">
        <v>3000</v>
      </c>
      <c r="AF84" s="166">
        <v>3000</v>
      </c>
      <c r="AG84" s="166">
        <v>800</v>
      </c>
      <c r="AH84" s="166">
        <v>4800</v>
      </c>
      <c r="AJ84" s="166">
        <v>4</v>
      </c>
      <c r="AK84" s="166">
        <v>4950</v>
      </c>
      <c r="AL84" s="166">
        <v>4440</v>
      </c>
      <c r="AM84" s="166">
        <v>1990</v>
      </c>
      <c r="AN84" s="166">
        <v>3250</v>
      </c>
      <c r="AO84" s="166">
        <v>3250</v>
      </c>
      <c r="AP84" s="166">
        <v>2430</v>
      </c>
      <c r="AQ84" s="166">
        <v>800</v>
      </c>
      <c r="AR84" s="166">
        <v>4700</v>
      </c>
      <c r="AS84" s="167"/>
    </row>
    <row r="85" spans="1:45" x14ac:dyDescent="0.3">
      <c r="A85" s="197" t="s">
        <v>60</v>
      </c>
      <c r="B85" s="203"/>
      <c r="C85" s="203"/>
      <c r="D85" s="203"/>
      <c r="E85" s="198"/>
      <c r="F85" s="152">
        <f>(C77*F76)*$H84</f>
        <v>0.64365000000000006</v>
      </c>
      <c r="G85" s="116" t="s">
        <v>223</v>
      </c>
      <c r="H85" s="198"/>
      <c r="I85" s="212"/>
      <c r="J85" s="213"/>
      <c r="K85" s="165"/>
      <c r="N85" s="166">
        <v>4</v>
      </c>
      <c r="O85" s="165"/>
      <c r="P85" s="166">
        <v>840</v>
      </c>
      <c r="Q85" s="166">
        <v>700</v>
      </c>
      <c r="R85" s="166">
        <v>600</v>
      </c>
      <c r="S85" s="166">
        <v>920</v>
      </c>
      <c r="T85" s="166">
        <v>600</v>
      </c>
      <c r="U85" s="166">
        <v>630</v>
      </c>
      <c r="V85" s="166">
        <v>380</v>
      </c>
      <c r="W85" s="166">
        <v>790</v>
      </c>
      <c r="X85" s="116">
        <f>AVERAGE(P85:W85)</f>
        <v>682.5</v>
      </c>
      <c r="Z85" s="166">
        <v>4</v>
      </c>
      <c r="AA85" s="166">
        <v>4950</v>
      </c>
      <c r="AB85" s="166">
        <v>4450</v>
      </c>
      <c r="AC85" s="166">
        <v>2000</v>
      </c>
      <c r="AD85" s="166">
        <v>3250</v>
      </c>
      <c r="AE85" s="166">
        <v>3250</v>
      </c>
      <c r="AF85" s="166">
        <v>3250</v>
      </c>
      <c r="AG85" s="166">
        <v>800</v>
      </c>
      <c r="AH85" s="166">
        <v>4700</v>
      </c>
      <c r="AJ85" s="167"/>
      <c r="AK85" s="167"/>
      <c r="AL85" s="167"/>
      <c r="AM85" s="167"/>
      <c r="AN85" s="167"/>
      <c r="AO85" s="167"/>
      <c r="AP85" s="167"/>
      <c r="AQ85" s="167"/>
      <c r="AR85" s="167"/>
      <c r="AS85" s="167"/>
    </row>
    <row r="86" spans="1:45" x14ac:dyDescent="0.3">
      <c r="A86" s="207" t="s">
        <v>100</v>
      </c>
      <c r="B86" s="203"/>
      <c r="C86" s="203"/>
      <c r="D86" s="203"/>
      <c r="E86" s="215" t="s">
        <v>101</v>
      </c>
      <c r="F86" s="198"/>
      <c r="G86" s="198"/>
      <c r="H86" s="198"/>
      <c r="I86" s="198"/>
      <c r="J86" s="200"/>
      <c r="K86" s="165"/>
      <c r="AJ86" s="167"/>
      <c r="AK86" s="167"/>
      <c r="AL86" s="167"/>
      <c r="AM86" s="167"/>
      <c r="AN86" s="167"/>
      <c r="AO86" s="167"/>
      <c r="AP86" s="167"/>
      <c r="AQ86" s="167"/>
      <c r="AR86" s="167"/>
      <c r="AS86" s="167"/>
    </row>
    <row r="87" spans="1:45" ht="15.65" thickBot="1" x14ac:dyDescent="0.35">
      <c r="A87" s="217" t="s">
        <v>315</v>
      </c>
      <c r="B87" s="231"/>
      <c r="C87" s="231"/>
      <c r="D87" s="232">
        <f>AI94</f>
        <v>16.586984126984127</v>
      </c>
      <c r="E87" s="218"/>
      <c r="F87" s="218"/>
      <c r="G87" s="218"/>
      <c r="H87" s="218"/>
      <c r="I87" s="214"/>
      <c r="J87" s="219"/>
      <c r="K87" s="165"/>
      <c r="N87" s="166">
        <v>350</v>
      </c>
      <c r="AJ87" s="169" t="s">
        <v>319</v>
      </c>
      <c r="AK87" s="167"/>
      <c r="AL87" s="167"/>
      <c r="AM87" s="167"/>
      <c r="AN87" s="167"/>
      <c r="AO87" s="167"/>
      <c r="AP87" s="167"/>
      <c r="AQ87" s="167"/>
      <c r="AR87" s="167"/>
      <c r="AS87" s="167"/>
    </row>
    <row r="88" spans="1:45" x14ac:dyDescent="0.3">
      <c r="J88" s="166"/>
      <c r="K88" s="165"/>
      <c r="N88" s="157"/>
      <c r="Y88" s="223"/>
      <c r="Z88" s="169"/>
      <c r="AA88" s="228"/>
      <c r="AB88" s="167"/>
      <c r="AC88" s="167"/>
      <c r="AD88" s="167"/>
      <c r="AE88" s="167"/>
      <c r="AF88" s="167"/>
      <c r="AG88" s="167"/>
      <c r="AH88" s="167"/>
      <c r="AJ88" s="167"/>
      <c r="AK88" s="166" t="s">
        <v>294</v>
      </c>
      <c r="AL88" s="166" t="s">
        <v>295</v>
      </c>
      <c r="AM88" s="166" t="s">
        <v>296</v>
      </c>
      <c r="AN88" s="166" t="s">
        <v>297</v>
      </c>
      <c r="AO88" s="166" t="s">
        <v>298</v>
      </c>
      <c r="AP88" s="166" t="s">
        <v>299</v>
      </c>
      <c r="AQ88" s="166" t="s">
        <v>300</v>
      </c>
      <c r="AR88" s="166" t="s">
        <v>301</v>
      </c>
      <c r="AS88" s="167"/>
    </row>
    <row r="89" spans="1:45" x14ac:dyDescent="0.3">
      <c r="B89" s="198">
        <v>10</v>
      </c>
      <c r="C89" s="198" t="s">
        <v>344</v>
      </c>
      <c r="D89" s="130">
        <v>2.2400000000000002</v>
      </c>
      <c r="E89" s="116" t="s">
        <v>226</v>
      </c>
      <c r="G89" s="166"/>
      <c r="H89" s="171"/>
      <c r="I89" s="166"/>
      <c r="J89" s="166"/>
      <c r="K89" s="165"/>
      <c r="Y89" s="223" t="s">
        <v>321</v>
      </c>
      <c r="Z89" s="169"/>
      <c r="AA89" s="167"/>
      <c r="AB89" s="167"/>
      <c r="AC89" s="167"/>
      <c r="AD89" s="167"/>
      <c r="AE89" s="167"/>
      <c r="AF89" s="167"/>
      <c r="AG89" s="167"/>
      <c r="AH89" s="167"/>
      <c r="AI89" s="226" t="s">
        <v>102</v>
      </c>
      <c r="AJ89" s="167"/>
      <c r="AK89" s="168" t="s">
        <v>303</v>
      </c>
      <c r="AL89" s="168" t="s">
        <v>303</v>
      </c>
      <c r="AM89" s="168" t="s">
        <v>303</v>
      </c>
      <c r="AN89" s="168" t="s">
        <v>303</v>
      </c>
      <c r="AO89" s="168" t="s">
        <v>303</v>
      </c>
      <c r="AP89" s="168" t="s">
        <v>303</v>
      </c>
      <c r="AQ89" s="168" t="s">
        <v>303</v>
      </c>
      <c r="AR89" s="168" t="s">
        <v>303</v>
      </c>
      <c r="AS89" s="167"/>
    </row>
    <row r="90" spans="1:45" x14ac:dyDescent="0.3">
      <c r="B90" s="152">
        <f>B89*D89</f>
        <v>22.400000000000002</v>
      </c>
      <c r="C90" s="250" t="s">
        <v>345</v>
      </c>
      <c r="D90" s="198"/>
      <c r="E90" s="212"/>
      <c r="Y90" s="169" t="s">
        <v>316</v>
      </c>
      <c r="Z90" s="169" t="s">
        <v>317</v>
      </c>
      <c r="AA90" s="116">
        <f t="shared" ref="AA90:AF90" si="11">AA75</f>
        <v>350</v>
      </c>
      <c r="AB90" s="116">
        <f t="shared" si="11"/>
        <v>2400</v>
      </c>
      <c r="AC90" s="116">
        <f t="shared" si="11"/>
        <v>100</v>
      </c>
      <c r="AD90" s="116">
        <f t="shared" si="11"/>
        <v>250</v>
      </c>
      <c r="AE90" s="116">
        <f t="shared" si="11"/>
        <v>200</v>
      </c>
      <c r="AF90" s="116">
        <f t="shared" si="11"/>
        <v>200</v>
      </c>
      <c r="AH90" s="116">
        <f>AH75</f>
        <v>180</v>
      </c>
      <c r="AI90" s="227">
        <f>AVERAGE(AC90:AH90,AA90)</f>
        <v>213.33333333333334</v>
      </c>
      <c r="AJ90" s="167"/>
      <c r="AK90" s="166">
        <v>8.3000000000000007</v>
      </c>
      <c r="AL90" s="166">
        <v>8.3000000000000007</v>
      </c>
      <c r="AM90" s="166">
        <v>8.6</v>
      </c>
      <c r="AN90" s="166">
        <v>8.5</v>
      </c>
      <c r="AO90" s="166">
        <v>8.35</v>
      </c>
      <c r="AP90" s="166">
        <v>8.35</v>
      </c>
      <c r="AQ90" s="166">
        <v>8.3000000000000007</v>
      </c>
      <c r="AR90" s="166">
        <v>8.1</v>
      </c>
      <c r="AS90" s="167"/>
    </row>
    <row r="91" spans="1:45" ht="15.65" thickBot="1" x14ac:dyDescent="0.35">
      <c r="Y91" s="223" t="s">
        <v>69</v>
      </c>
      <c r="Z91" s="169" t="s">
        <v>317</v>
      </c>
      <c r="AA91" s="116">
        <f t="shared" ref="AA91:AF91" si="12">AA83</f>
        <v>4700</v>
      </c>
      <c r="AB91" s="116">
        <f t="shared" si="12"/>
        <v>4200</v>
      </c>
      <c r="AC91" s="116">
        <f t="shared" si="12"/>
        <v>1900</v>
      </c>
      <c r="AD91" s="116">
        <f t="shared" si="12"/>
        <v>3190</v>
      </c>
      <c r="AE91" s="116">
        <f t="shared" si="12"/>
        <v>2850</v>
      </c>
      <c r="AF91" s="116">
        <f t="shared" si="12"/>
        <v>2850</v>
      </c>
      <c r="AH91" s="116">
        <f>AH83</f>
        <v>4650</v>
      </c>
      <c r="AI91" s="227">
        <f t="shared" ref="AI91" si="13">AVERAGE(AC91:AH91,AA91)</f>
        <v>3356.6666666666665</v>
      </c>
      <c r="AJ91" s="166" t="s">
        <v>51</v>
      </c>
      <c r="AK91" s="166">
        <f t="shared" ref="AK91:AK96" si="14">AK74*2</f>
        <v>760</v>
      </c>
      <c r="AL91" s="166">
        <f t="shared" ref="AL91:AR91" si="15">AL74*2</f>
        <v>4800</v>
      </c>
      <c r="AM91" s="166">
        <f t="shared" si="15"/>
        <v>260</v>
      </c>
      <c r="AN91" s="166">
        <f t="shared" si="15"/>
        <v>500</v>
      </c>
      <c r="AO91" s="166">
        <f t="shared" si="15"/>
        <v>400</v>
      </c>
      <c r="AP91" s="166">
        <f t="shared" si="15"/>
        <v>300</v>
      </c>
      <c r="AQ91" s="166">
        <f t="shared" si="15"/>
        <v>40</v>
      </c>
      <c r="AR91" s="166">
        <f t="shared" si="15"/>
        <v>380</v>
      </c>
      <c r="AS91" s="167"/>
    </row>
    <row r="92" spans="1:45" x14ac:dyDescent="0.3">
      <c r="D92" s="216" t="s">
        <v>311</v>
      </c>
      <c r="E92" s="194"/>
      <c r="F92" s="195"/>
      <c r="G92" s="233"/>
      <c r="Y92" s="531" t="s">
        <v>320</v>
      </c>
      <c r="Z92" s="169" t="s">
        <v>317</v>
      </c>
      <c r="AA92" s="116">
        <f>AA91-AA90</f>
        <v>4350</v>
      </c>
      <c r="AB92" s="116">
        <f t="shared" ref="AB92:AH92" si="16">AB91-AB90</f>
        <v>1800</v>
      </c>
      <c r="AC92" s="116">
        <f t="shared" si="16"/>
        <v>1800</v>
      </c>
      <c r="AD92" s="116">
        <f t="shared" si="16"/>
        <v>2940</v>
      </c>
      <c r="AE92" s="116">
        <f t="shared" si="16"/>
        <v>2650</v>
      </c>
      <c r="AF92" s="116">
        <f t="shared" si="16"/>
        <v>2650</v>
      </c>
      <c r="AH92" s="116">
        <f t="shared" si="16"/>
        <v>4470</v>
      </c>
      <c r="AI92" s="227">
        <f>AVERAGE(AC92:AH92,AA92)</f>
        <v>3143.3333333333335</v>
      </c>
      <c r="AJ92" s="166">
        <v>8</v>
      </c>
      <c r="AK92" s="166">
        <f t="shared" si="14"/>
        <v>780</v>
      </c>
      <c r="AL92" s="166">
        <f t="shared" ref="AL92:AR96" si="17">AL75*2</f>
        <v>4600</v>
      </c>
      <c r="AM92" s="166">
        <f t="shared" si="17"/>
        <v>340</v>
      </c>
      <c r="AN92" s="166">
        <f t="shared" si="17"/>
        <v>600</v>
      </c>
      <c r="AO92" s="166">
        <f t="shared" si="17"/>
        <v>400</v>
      </c>
      <c r="AP92" s="166">
        <f t="shared" si="17"/>
        <v>380</v>
      </c>
      <c r="AQ92" s="166">
        <f t="shared" si="17"/>
        <v>100</v>
      </c>
      <c r="AR92" s="166">
        <f t="shared" si="17"/>
        <v>420</v>
      </c>
      <c r="AS92" s="167"/>
    </row>
    <row r="93" spans="1:45" x14ac:dyDescent="0.3">
      <c r="D93" s="197" t="s">
        <v>312</v>
      </c>
      <c r="E93" s="198"/>
      <c r="F93" s="198">
        <v>74.09</v>
      </c>
      <c r="G93" s="234" t="s">
        <v>172</v>
      </c>
      <c r="Y93" s="531"/>
      <c r="AJ93" s="166">
        <v>7.5</v>
      </c>
      <c r="AK93" s="166">
        <f t="shared" si="14"/>
        <v>800</v>
      </c>
      <c r="AL93" s="166">
        <f t="shared" si="17"/>
        <v>4400</v>
      </c>
      <c r="AM93" s="166">
        <f t="shared" si="17"/>
        <v>400</v>
      </c>
      <c r="AN93" s="166">
        <f t="shared" si="17"/>
        <v>620</v>
      </c>
      <c r="AO93" s="166">
        <f t="shared" si="17"/>
        <v>500</v>
      </c>
      <c r="AP93" s="166">
        <f t="shared" si="17"/>
        <v>500</v>
      </c>
      <c r="AQ93" s="166">
        <f t="shared" si="17"/>
        <v>120</v>
      </c>
      <c r="AR93" s="166">
        <f t="shared" si="17"/>
        <v>600</v>
      </c>
      <c r="AS93" s="167"/>
    </row>
    <row r="94" spans="1:45" x14ac:dyDescent="0.3">
      <c r="D94" s="222" t="s">
        <v>323</v>
      </c>
      <c r="E94" s="202">
        <v>0.45</v>
      </c>
      <c r="F94" s="199"/>
      <c r="G94" s="235"/>
      <c r="N94" s="187" t="s">
        <v>304</v>
      </c>
      <c r="O94" s="188" t="s">
        <v>305</v>
      </c>
      <c r="P94" s="188" t="s">
        <v>306</v>
      </c>
      <c r="Q94" s="229" t="s">
        <v>325</v>
      </c>
      <c r="R94" s="167"/>
      <c r="Z94" s="169" t="s">
        <v>302</v>
      </c>
      <c r="AA94" s="225">
        <f t="shared" ref="AA94:AF94" si="18">AA83/AA75</f>
        <v>13.428571428571429</v>
      </c>
      <c r="AB94" s="167">
        <f t="shared" si="18"/>
        <v>1.75</v>
      </c>
      <c r="AC94" s="167">
        <f t="shared" si="18"/>
        <v>19</v>
      </c>
      <c r="AD94" s="167">
        <f t="shared" si="18"/>
        <v>12.76</v>
      </c>
      <c r="AE94" s="167">
        <f t="shared" si="18"/>
        <v>14.25</v>
      </c>
      <c r="AF94" s="167">
        <f t="shared" si="18"/>
        <v>14.25</v>
      </c>
      <c r="AG94" s="167"/>
      <c r="AH94" s="167">
        <f>AH83/AH75</f>
        <v>25.833333333333332</v>
      </c>
      <c r="AI94" s="227">
        <f>AVERAGE(AC94:AH94,AA94)</f>
        <v>16.586984126984127</v>
      </c>
      <c r="AJ94" s="166">
        <v>7</v>
      </c>
      <c r="AK94" s="166">
        <f t="shared" si="14"/>
        <v>900</v>
      </c>
      <c r="AL94" s="166">
        <f t="shared" si="17"/>
        <v>4300</v>
      </c>
      <c r="AM94" s="166">
        <f t="shared" si="17"/>
        <v>500</v>
      </c>
      <c r="AN94" s="166">
        <f t="shared" si="17"/>
        <v>800</v>
      </c>
      <c r="AO94" s="166">
        <f t="shared" si="17"/>
        <v>780</v>
      </c>
      <c r="AP94" s="166">
        <f t="shared" si="17"/>
        <v>660</v>
      </c>
      <c r="AQ94" s="166">
        <f t="shared" si="17"/>
        <v>200</v>
      </c>
      <c r="AR94" s="166">
        <f t="shared" si="17"/>
        <v>600</v>
      </c>
      <c r="AS94" s="167"/>
    </row>
    <row r="95" spans="1:45" x14ac:dyDescent="0.3">
      <c r="D95" s="197" t="s">
        <v>307</v>
      </c>
      <c r="E95" s="203"/>
      <c r="F95" s="203"/>
      <c r="G95" s="236"/>
      <c r="N95" s="187">
        <f t="shared" ref="N95:N101" si="19">V129</f>
        <v>5</v>
      </c>
      <c r="O95" s="188">
        <f t="shared" ref="O95:O101" si="20">AG129*100</f>
        <v>95</v>
      </c>
      <c r="P95" s="188">
        <f>X83</f>
        <v>603.75</v>
      </c>
      <c r="Q95" s="188">
        <f>P95/2/1000*$AC$128*1000</f>
        <v>181.125</v>
      </c>
      <c r="R95" s="167"/>
      <c r="Z95" s="169"/>
      <c r="AB95" s="167"/>
      <c r="AC95" s="167"/>
      <c r="AD95" s="167"/>
      <c r="AE95" s="167"/>
      <c r="AF95" s="167"/>
      <c r="AG95" s="167"/>
      <c r="AH95" s="167"/>
      <c r="AJ95" s="166">
        <v>6.5</v>
      </c>
      <c r="AK95" s="166">
        <f t="shared" si="14"/>
        <v>1800</v>
      </c>
      <c r="AL95" s="166">
        <f t="shared" si="17"/>
        <v>4500</v>
      </c>
      <c r="AM95" s="166">
        <f t="shared" si="17"/>
        <v>900</v>
      </c>
      <c r="AN95" s="166">
        <f t="shared" si="17"/>
        <v>1260</v>
      </c>
      <c r="AO95" s="166">
        <f t="shared" si="17"/>
        <v>1300</v>
      </c>
      <c r="AP95" s="166">
        <f t="shared" si="17"/>
        <v>1080</v>
      </c>
      <c r="AQ95" s="166">
        <f t="shared" si="17"/>
        <v>500</v>
      </c>
      <c r="AR95" s="166">
        <f t="shared" si="17"/>
        <v>1300</v>
      </c>
      <c r="AS95" s="167"/>
    </row>
    <row r="96" spans="1:45" x14ac:dyDescent="0.3">
      <c r="D96" s="197" t="s">
        <v>313</v>
      </c>
      <c r="E96" s="203"/>
      <c r="F96" s="237">
        <v>30</v>
      </c>
      <c r="G96" s="200">
        <f>((G97/E94)/1000*$F$93)</f>
        <v>29.821225000000002</v>
      </c>
      <c r="N96" s="187">
        <f t="shared" si="19"/>
        <v>5.5</v>
      </c>
      <c r="O96" s="188">
        <f t="shared" si="20"/>
        <v>80</v>
      </c>
      <c r="P96" s="188">
        <f>X82</f>
        <v>523.75</v>
      </c>
      <c r="Q96" s="188">
        <f t="shared" ref="Q96:Q100" si="21">P96/2/1000*$AC$128*1000</f>
        <v>157.12500000000003</v>
      </c>
      <c r="R96" s="167"/>
      <c r="Y96" s="223" t="s">
        <v>322</v>
      </c>
      <c r="AA96" s="167"/>
      <c r="AB96" s="167"/>
      <c r="AC96" s="167"/>
      <c r="AD96" s="167"/>
      <c r="AE96" s="167"/>
      <c r="AF96" s="167"/>
      <c r="AG96" s="167"/>
      <c r="AH96" s="167"/>
      <c r="AI96" s="226" t="s">
        <v>102</v>
      </c>
      <c r="AJ96" s="166">
        <v>6</v>
      </c>
      <c r="AK96" s="166">
        <f t="shared" si="14"/>
        <v>4740</v>
      </c>
      <c r="AL96" s="166">
        <f t="shared" si="17"/>
        <v>6660</v>
      </c>
      <c r="AM96" s="166">
        <f t="shared" si="17"/>
        <v>2200</v>
      </c>
      <c r="AN96" s="166">
        <f t="shared" si="17"/>
        <v>3600</v>
      </c>
      <c r="AO96" s="166">
        <f t="shared" si="17"/>
        <v>2500</v>
      </c>
      <c r="AP96" s="166">
        <f t="shared" si="17"/>
        <v>1800</v>
      </c>
      <c r="AQ96" s="166">
        <f t="shared" si="17"/>
        <v>1340</v>
      </c>
      <c r="AR96" s="166">
        <f t="shared" si="17"/>
        <v>3360</v>
      </c>
      <c r="AS96" s="167"/>
    </row>
    <row r="97" spans="4:45" x14ac:dyDescent="0.3">
      <c r="D97" s="197" t="s">
        <v>105</v>
      </c>
      <c r="E97" s="203"/>
      <c r="F97" s="198">
        <f>((F96*E94)*1000/$F$93)</f>
        <v>182.21082467269537</v>
      </c>
      <c r="G97" s="236">
        <f>Q95</f>
        <v>181.125</v>
      </c>
      <c r="N97" s="187">
        <f t="shared" si="19"/>
        <v>6</v>
      </c>
      <c r="O97" s="188">
        <f t="shared" si="20"/>
        <v>40</v>
      </c>
      <c r="P97" s="188">
        <f>X81</f>
        <v>400</v>
      </c>
      <c r="Q97" s="188">
        <f t="shared" si="21"/>
        <v>120</v>
      </c>
      <c r="R97" s="167"/>
      <c r="Y97" s="169" t="s">
        <v>316</v>
      </c>
      <c r="Z97" s="169" t="s">
        <v>317</v>
      </c>
      <c r="AA97" s="116">
        <f>AK91</f>
        <v>760</v>
      </c>
      <c r="AB97" s="116">
        <f t="shared" ref="AB97:AH97" si="22">AL91</f>
        <v>4800</v>
      </c>
      <c r="AC97" s="116">
        <f t="shared" si="22"/>
        <v>260</v>
      </c>
      <c r="AD97" s="116">
        <f t="shared" si="22"/>
        <v>500</v>
      </c>
      <c r="AE97" s="116">
        <f t="shared" si="22"/>
        <v>400</v>
      </c>
      <c r="AF97" s="116">
        <f t="shared" si="22"/>
        <v>300</v>
      </c>
      <c r="AH97" s="116">
        <f t="shared" si="22"/>
        <v>380</v>
      </c>
      <c r="AI97" s="227">
        <f>AVERAGE(AC97:AH97,AA97)</f>
        <v>433.33333333333331</v>
      </c>
      <c r="AJ97" s="166">
        <v>5.5</v>
      </c>
      <c r="AK97" s="166">
        <f t="shared" ref="AK97:AR100" si="23">AK81*2</f>
        <v>8100</v>
      </c>
      <c r="AL97" s="166">
        <f t="shared" si="23"/>
        <v>8260</v>
      </c>
      <c r="AM97" s="166">
        <f t="shared" si="23"/>
        <v>3200</v>
      </c>
      <c r="AN97" s="166">
        <f t="shared" si="23"/>
        <v>6200</v>
      </c>
      <c r="AO97" s="166">
        <f t="shared" si="23"/>
        <v>4580</v>
      </c>
      <c r="AP97" s="166">
        <f t="shared" si="23"/>
        <v>3520</v>
      </c>
      <c r="AQ97" s="166">
        <f t="shared" si="23"/>
        <v>1440</v>
      </c>
      <c r="AR97" s="166">
        <f t="shared" si="23"/>
        <v>6500</v>
      </c>
      <c r="AS97" s="167"/>
    </row>
    <row r="98" spans="4:45" x14ac:dyDescent="0.3">
      <c r="D98" s="238">
        <f>O95</f>
        <v>95</v>
      </c>
      <c r="E98" s="239" t="s">
        <v>324</v>
      </c>
      <c r="F98" s="203"/>
      <c r="G98" s="236"/>
      <c r="N98" s="187">
        <f t="shared" si="19"/>
        <v>6.5</v>
      </c>
      <c r="O98" s="188">
        <f t="shared" si="20"/>
        <v>25</v>
      </c>
      <c r="P98" s="188">
        <f>X79</f>
        <v>243.75</v>
      </c>
      <c r="Q98" s="188">
        <f t="shared" si="21"/>
        <v>73.125</v>
      </c>
      <c r="R98" s="167"/>
      <c r="Y98" s="223" t="s">
        <v>69</v>
      </c>
      <c r="Z98" s="169" t="s">
        <v>317</v>
      </c>
      <c r="AA98" s="116">
        <f>AK98</f>
        <v>9400</v>
      </c>
      <c r="AB98" s="116">
        <f t="shared" ref="AB98:AH98" si="24">AL98</f>
        <v>8400</v>
      </c>
      <c r="AC98" s="116">
        <f t="shared" si="24"/>
        <v>3800</v>
      </c>
      <c r="AD98" s="116">
        <f t="shared" si="24"/>
        <v>6380</v>
      </c>
      <c r="AE98" s="116">
        <f t="shared" si="24"/>
        <v>5660</v>
      </c>
      <c r="AF98" s="116">
        <f t="shared" si="24"/>
        <v>4100</v>
      </c>
      <c r="AH98" s="116">
        <f t="shared" si="24"/>
        <v>9280</v>
      </c>
      <c r="AI98" s="227">
        <f t="shared" ref="AI98" si="25">AVERAGE(AC98:AH98,AA98)</f>
        <v>6436.666666666667</v>
      </c>
      <c r="AJ98" s="166">
        <v>5</v>
      </c>
      <c r="AK98" s="166">
        <f t="shared" si="23"/>
        <v>9400</v>
      </c>
      <c r="AL98" s="166">
        <f t="shared" si="23"/>
        <v>8400</v>
      </c>
      <c r="AM98" s="166">
        <f t="shared" si="23"/>
        <v>3800</v>
      </c>
      <c r="AN98" s="166">
        <f t="shared" si="23"/>
        <v>6380</v>
      </c>
      <c r="AO98" s="166">
        <f t="shared" si="23"/>
        <v>5660</v>
      </c>
      <c r="AP98" s="166">
        <f t="shared" si="23"/>
        <v>4100</v>
      </c>
      <c r="AQ98" s="166">
        <f t="shared" si="23"/>
        <v>1520</v>
      </c>
      <c r="AR98" s="166">
        <f t="shared" si="23"/>
        <v>9280</v>
      </c>
      <c r="AS98" s="167"/>
    </row>
    <row r="99" spans="4:45" x14ac:dyDescent="0.3">
      <c r="D99" s="240"/>
      <c r="E99" s="203"/>
      <c r="F99" s="203"/>
      <c r="G99" s="236"/>
      <c r="N99" s="187">
        <f t="shared" si="19"/>
        <v>7</v>
      </c>
      <c r="O99" s="188">
        <f t="shared" si="20"/>
        <v>15</v>
      </c>
      <c r="P99" s="188">
        <f>X78</f>
        <v>218.75</v>
      </c>
      <c r="Q99" s="188">
        <f t="shared" si="21"/>
        <v>65.625</v>
      </c>
      <c r="R99" s="167"/>
      <c r="Y99" s="531" t="s">
        <v>320</v>
      </c>
      <c r="Z99" s="169" t="s">
        <v>317</v>
      </c>
      <c r="AA99" s="116">
        <f>AA98-AA97</f>
        <v>8640</v>
      </c>
      <c r="AB99" s="116">
        <f t="shared" ref="AB99" si="26">AB98-AB97</f>
        <v>3600</v>
      </c>
      <c r="AC99" s="116">
        <f t="shared" ref="AC99" si="27">AC98-AC97</f>
        <v>3540</v>
      </c>
      <c r="AD99" s="116">
        <f t="shared" ref="AD99" si="28">AD98-AD97</f>
        <v>5880</v>
      </c>
      <c r="AE99" s="116">
        <f t="shared" ref="AE99" si="29">AE98-AE97</f>
        <v>5260</v>
      </c>
      <c r="AF99" s="116">
        <f t="shared" ref="AF99" si="30">AF98-AF97</f>
        <v>3800</v>
      </c>
      <c r="AH99" s="116">
        <f t="shared" ref="AH99" si="31">AH98-AH97</f>
        <v>8900</v>
      </c>
      <c r="AI99" s="227">
        <f>AVERAGE(AC99:AH99,AA99)</f>
        <v>6003.333333333333</v>
      </c>
      <c r="AJ99" s="166">
        <v>4.5</v>
      </c>
      <c r="AK99" s="166">
        <f t="shared" si="23"/>
        <v>9560</v>
      </c>
      <c r="AL99" s="166">
        <f t="shared" si="23"/>
        <v>8280</v>
      </c>
      <c r="AM99" s="166">
        <f t="shared" si="23"/>
        <v>4000</v>
      </c>
      <c r="AN99" s="166">
        <f t="shared" si="23"/>
        <v>6300</v>
      </c>
      <c r="AO99" s="166">
        <f t="shared" si="23"/>
        <v>5980</v>
      </c>
      <c r="AP99" s="166">
        <f t="shared" si="23"/>
        <v>4480</v>
      </c>
      <c r="AQ99" s="166">
        <f t="shared" si="23"/>
        <v>1560</v>
      </c>
      <c r="AR99" s="166">
        <f t="shared" si="23"/>
        <v>9560</v>
      </c>
      <c r="AS99" s="167"/>
    </row>
    <row r="100" spans="4:45" x14ac:dyDescent="0.3">
      <c r="D100" s="222" t="s">
        <v>104</v>
      </c>
      <c r="E100" s="202">
        <v>0.2</v>
      </c>
      <c r="F100" s="199">
        <v>1.65</v>
      </c>
      <c r="G100" s="235" t="s">
        <v>56</v>
      </c>
      <c r="N100" s="187">
        <f t="shared" si="19"/>
        <v>7.5</v>
      </c>
      <c r="O100" s="188">
        <f t="shared" si="20"/>
        <v>5</v>
      </c>
      <c r="P100" s="188">
        <f>X77</f>
        <v>47.5</v>
      </c>
      <c r="Q100" s="188">
        <f t="shared" si="21"/>
        <v>14.249999999999998</v>
      </c>
      <c r="R100" s="167"/>
      <c r="Y100" s="531"/>
      <c r="AJ100" s="166">
        <v>4</v>
      </c>
      <c r="AK100" s="166">
        <f t="shared" si="23"/>
        <v>9900</v>
      </c>
      <c r="AL100" s="166">
        <f t="shared" si="23"/>
        <v>8880</v>
      </c>
      <c r="AM100" s="166">
        <f t="shared" si="23"/>
        <v>3980</v>
      </c>
      <c r="AN100" s="166">
        <f t="shared" si="23"/>
        <v>6500</v>
      </c>
      <c r="AO100" s="166">
        <f t="shared" si="23"/>
        <v>6500</v>
      </c>
      <c r="AP100" s="166">
        <f t="shared" si="23"/>
        <v>4860</v>
      </c>
      <c r="AQ100" s="166">
        <f t="shared" si="23"/>
        <v>1600</v>
      </c>
      <c r="AR100" s="166">
        <f t="shared" si="23"/>
        <v>9400</v>
      </c>
      <c r="AS100" s="167"/>
    </row>
    <row r="101" spans="4:45" ht="15.65" thickBot="1" x14ac:dyDescent="0.35">
      <c r="D101" s="241"/>
      <c r="E101" s="242">
        <v>0.3</v>
      </c>
      <c r="F101" s="231">
        <v>1.25</v>
      </c>
      <c r="G101" s="243"/>
      <c r="N101" s="187">
        <f t="shared" si="19"/>
        <v>8</v>
      </c>
      <c r="O101" s="188">
        <f t="shared" si="20"/>
        <v>0</v>
      </c>
      <c r="P101" s="188">
        <f>X76</f>
        <v>26.25</v>
      </c>
      <c r="Q101" s="188">
        <f>P101/2/1000*$AC$128*1000</f>
        <v>7.875</v>
      </c>
      <c r="R101" s="167"/>
      <c r="Z101" s="169" t="s">
        <v>302</v>
      </c>
      <c r="AA101" s="225">
        <f>AK98/AK91</f>
        <v>12.368421052631579</v>
      </c>
      <c r="AB101" s="225">
        <f t="shared" ref="AB101:AH101" si="32">AL98/AL91</f>
        <v>1.75</v>
      </c>
      <c r="AC101" s="225">
        <f t="shared" si="32"/>
        <v>14.615384615384615</v>
      </c>
      <c r="AD101" s="225">
        <f t="shared" si="32"/>
        <v>12.76</v>
      </c>
      <c r="AE101" s="225">
        <f t="shared" si="32"/>
        <v>14.15</v>
      </c>
      <c r="AF101" s="225">
        <f t="shared" si="32"/>
        <v>13.666666666666666</v>
      </c>
      <c r="AG101" s="225"/>
      <c r="AH101" s="225">
        <f t="shared" si="32"/>
        <v>24.421052631578949</v>
      </c>
      <c r="AI101" s="227">
        <f>AVERAGE(AC101:AH101,AA101)</f>
        <v>15.330254161043634</v>
      </c>
    </row>
    <row r="102" spans="4:45" x14ac:dyDescent="0.3">
      <c r="E102" s="249">
        <v>0.45</v>
      </c>
      <c r="G102" s="116">
        <v>0.12</v>
      </c>
      <c r="H102" s="251" t="s">
        <v>346</v>
      </c>
      <c r="AK102" s="167"/>
      <c r="AL102" s="167"/>
      <c r="AM102" s="167"/>
      <c r="AN102" s="167"/>
      <c r="AO102" s="167"/>
      <c r="AP102" s="167"/>
      <c r="AQ102" s="167"/>
      <c r="AR102" s="167"/>
      <c r="AS102" s="167"/>
    </row>
    <row r="103" spans="4:45" x14ac:dyDescent="0.3">
      <c r="AR103" s="167"/>
      <c r="AS103" s="167"/>
    </row>
    <row r="104" spans="4:45" x14ac:dyDescent="0.3">
      <c r="AR104" s="167"/>
      <c r="AS104" s="167"/>
    </row>
    <row r="105" spans="4:45" x14ac:dyDescent="0.3">
      <c r="AR105" s="167"/>
      <c r="AS105" s="167"/>
    </row>
    <row r="106" spans="4:45" x14ac:dyDescent="0.3">
      <c r="AR106" s="167"/>
      <c r="AS106" s="167"/>
    </row>
    <row r="107" spans="4:45" x14ac:dyDescent="0.3">
      <c r="AR107" s="167"/>
      <c r="AS107" s="167"/>
    </row>
    <row r="108" spans="4:45" x14ac:dyDescent="0.3">
      <c r="AI108" s="166"/>
      <c r="AR108" s="167"/>
      <c r="AS108" s="167"/>
    </row>
    <row r="109" spans="4:45" x14ac:dyDescent="0.3">
      <c r="AI109" s="166"/>
      <c r="AR109" s="167"/>
      <c r="AS109" s="167"/>
    </row>
    <row r="110" spans="4:45" x14ac:dyDescent="0.3">
      <c r="AH110" s="166"/>
      <c r="AI110" s="166"/>
      <c r="AR110" s="167"/>
      <c r="AS110" s="167"/>
    </row>
    <row r="111" spans="4:45" x14ac:dyDescent="0.3">
      <c r="I111" s="169"/>
      <c r="J111" s="166"/>
      <c r="K111" s="165"/>
      <c r="AH111" s="166"/>
      <c r="AI111" s="166"/>
      <c r="AR111" s="167"/>
      <c r="AS111" s="167"/>
    </row>
    <row r="112" spans="4:45" x14ac:dyDescent="0.3">
      <c r="D112" s="166"/>
      <c r="E112" s="165"/>
      <c r="F112" s="165"/>
      <c r="G112" s="165"/>
      <c r="H112" s="165"/>
      <c r="I112" s="165"/>
      <c r="J112" s="166"/>
      <c r="K112" s="165"/>
      <c r="AI112" s="166"/>
      <c r="AR112" s="167"/>
      <c r="AS112" s="167"/>
    </row>
    <row r="113" spans="4:45" x14ac:dyDescent="0.3">
      <c r="D113" s="166"/>
      <c r="E113" s="230"/>
      <c r="F113" s="230"/>
      <c r="G113" s="230"/>
      <c r="H113" s="165"/>
      <c r="I113" s="165"/>
      <c r="J113" s="166"/>
      <c r="K113" s="165"/>
      <c r="AI113" s="166"/>
      <c r="AR113" s="167"/>
      <c r="AS113" s="167"/>
    </row>
    <row r="114" spans="4:45" x14ac:dyDescent="0.3">
      <c r="D114" s="166"/>
      <c r="E114" s="230"/>
      <c r="F114" s="230"/>
      <c r="G114" s="230"/>
      <c r="H114" s="165"/>
      <c r="I114" s="165"/>
      <c r="J114" s="165"/>
      <c r="K114" s="165"/>
      <c r="AI114" s="166"/>
      <c r="AR114" s="167"/>
      <c r="AS114" s="167"/>
    </row>
    <row r="115" spans="4:45" x14ac:dyDescent="0.3">
      <c r="D115" s="166"/>
      <c r="E115" s="230"/>
      <c r="F115" s="230"/>
      <c r="G115" s="230"/>
      <c r="H115" s="166"/>
      <c r="I115" s="166"/>
      <c r="J115" s="166"/>
      <c r="K115" s="165"/>
      <c r="AI115" s="166"/>
      <c r="AK115" s="167"/>
      <c r="AL115" s="167"/>
      <c r="AM115" s="167"/>
      <c r="AN115" s="167"/>
      <c r="AO115" s="167"/>
      <c r="AP115" s="167"/>
      <c r="AQ115" s="167"/>
      <c r="AR115" s="167"/>
      <c r="AS115" s="167"/>
    </row>
    <row r="116" spans="4:45" x14ac:dyDescent="0.3">
      <c r="D116" s="166"/>
      <c r="E116" s="230"/>
      <c r="F116" s="230"/>
      <c r="G116" s="230"/>
      <c r="H116" s="165"/>
      <c r="I116" s="166"/>
      <c r="J116" s="166"/>
      <c r="K116" s="165"/>
      <c r="AI116" s="166"/>
    </row>
    <row r="117" spans="4:45" x14ac:dyDescent="0.3">
      <c r="D117" s="166"/>
      <c r="E117" s="230"/>
      <c r="F117" s="230"/>
      <c r="G117" s="230"/>
      <c r="H117" s="165"/>
      <c r="I117" s="166"/>
      <c r="J117" s="166"/>
      <c r="K117" s="165"/>
      <c r="AI117" s="166"/>
    </row>
    <row r="118" spans="4:45" x14ac:dyDescent="0.3">
      <c r="D118" s="166"/>
      <c r="E118" s="230"/>
      <c r="F118" s="230"/>
      <c r="G118" s="230"/>
      <c r="K118" s="165"/>
      <c r="AI118" s="166"/>
    </row>
    <row r="119" spans="4:45" x14ac:dyDescent="0.3">
      <c r="K119" s="165"/>
      <c r="AI119" s="166"/>
    </row>
    <row r="120" spans="4:45" x14ac:dyDescent="0.3">
      <c r="K120" s="165"/>
      <c r="AI120" s="166"/>
    </row>
    <row r="121" spans="4:45" x14ac:dyDescent="0.3">
      <c r="K121" s="165"/>
      <c r="AI121" s="166"/>
    </row>
    <row r="122" spans="4:45" x14ac:dyDescent="0.3">
      <c r="K122" s="165"/>
      <c r="AI122" s="166"/>
    </row>
    <row r="123" spans="4:45" x14ac:dyDescent="0.3">
      <c r="K123" s="165"/>
      <c r="AI123" s="166"/>
    </row>
    <row r="124" spans="4:45" ht="15.65" thickBot="1" x14ac:dyDescent="0.35">
      <c r="D124" s="166"/>
      <c r="E124" s="166"/>
      <c r="G124" s="166"/>
      <c r="H124" s="165"/>
      <c r="I124" s="166"/>
      <c r="J124" s="166"/>
      <c r="K124" s="165"/>
      <c r="AH124" s="166"/>
      <c r="AI124" s="166"/>
    </row>
    <row r="125" spans="4:45" ht="18.2" thickBot="1" x14ac:dyDescent="0.35">
      <c r="E125" s="166"/>
      <c r="G125" s="166"/>
      <c r="H125" s="166"/>
      <c r="I125" s="166"/>
      <c r="J125" s="166"/>
      <c r="K125" s="165"/>
      <c r="U125" s="173" t="s">
        <v>272</v>
      </c>
      <c r="V125" s="166"/>
      <c r="W125" s="174">
        <v>1</v>
      </c>
      <c r="X125" s="175">
        <v>0.05</v>
      </c>
      <c r="Y125" s="175">
        <v>0.2</v>
      </c>
      <c r="Z125" s="220" t="s">
        <v>103</v>
      </c>
      <c r="AA125" s="221"/>
      <c r="AB125" s="221"/>
      <c r="AC125" s="176"/>
      <c r="AD125" s="220" t="s">
        <v>273</v>
      </c>
      <c r="AE125" s="221"/>
      <c r="AF125" s="221"/>
      <c r="AG125" s="221"/>
      <c r="AH125" s="172" t="s">
        <v>271</v>
      </c>
      <c r="AI125" s="166"/>
    </row>
    <row r="126" spans="4:45" x14ac:dyDescent="0.3">
      <c r="D126" s="166"/>
      <c r="E126" s="166"/>
      <c r="F126" s="166"/>
      <c r="G126" s="166"/>
      <c r="H126" s="166"/>
      <c r="I126" s="166"/>
      <c r="J126" s="166"/>
      <c r="K126" s="165"/>
      <c r="U126" s="166"/>
      <c r="V126" s="177" t="s">
        <v>51</v>
      </c>
      <c r="W126" s="178" t="s">
        <v>274</v>
      </c>
      <c r="X126" s="178" t="s">
        <v>275</v>
      </c>
      <c r="Y126" s="178" t="s">
        <v>275</v>
      </c>
      <c r="Z126" s="179" t="s">
        <v>274</v>
      </c>
      <c r="AA126" s="179" t="s">
        <v>275</v>
      </c>
      <c r="AB126" s="179" t="s">
        <v>275</v>
      </c>
      <c r="AC126" s="173" t="s">
        <v>276</v>
      </c>
      <c r="AD126" s="179" t="s">
        <v>274</v>
      </c>
      <c r="AE126" s="179" t="s">
        <v>275</v>
      </c>
      <c r="AF126" s="179" t="s">
        <v>275</v>
      </c>
      <c r="AG126" s="180"/>
      <c r="AH126" s="166"/>
      <c r="AI126" s="166"/>
    </row>
    <row r="127" spans="4:45" x14ac:dyDescent="0.3">
      <c r="E127" s="166"/>
      <c r="F127" s="166"/>
      <c r="G127" s="166"/>
      <c r="H127" s="166"/>
      <c r="I127" s="166"/>
      <c r="J127" s="166"/>
      <c r="K127" s="165"/>
      <c r="U127" s="181"/>
      <c r="V127" s="177"/>
      <c r="W127" s="178" t="s">
        <v>277</v>
      </c>
      <c r="X127" s="178" t="s">
        <v>278</v>
      </c>
      <c r="Y127" s="178" t="s">
        <v>279</v>
      </c>
      <c r="Z127" s="179" t="s">
        <v>277</v>
      </c>
      <c r="AA127" s="179" t="s">
        <v>280</v>
      </c>
      <c r="AB127" s="179" t="s">
        <v>281</v>
      </c>
      <c r="AC127" s="181" t="s">
        <v>282</v>
      </c>
      <c r="AD127" s="179" t="s">
        <v>277</v>
      </c>
      <c r="AE127" s="179" t="s">
        <v>280</v>
      </c>
      <c r="AF127" s="179" t="s">
        <v>281</v>
      </c>
      <c r="AG127" s="177" t="s">
        <v>283</v>
      </c>
      <c r="AH127" s="166"/>
      <c r="AI127" s="166"/>
    </row>
    <row r="128" spans="4:45" ht="15.65" thickBot="1" x14ac:dyDescent="0.35">
      <c r="F128" s="166"/>
      <c r="G128" s="166"/>
      <c r="H128" s="166"/>
      <c r="I128" s="166"/>
      <c r="J128" s="166"/>
      <c r="K128" s="165"/>
      <c r="U128" s="166"/>
      <c r="V128" s="177" t="s">
        <v>284</v>
      </c>
      <c r="W128" s="178" t="s">
        <v>285</v>
      </c>
      <c r="X128" s="178" t="s">
        <v>285</v>
      </c>
      <c r="Y128" s="178" t="s">
        <v>285</v>
      </c>
      <c r="Z128" s="179" t="s">
        <v>286</v>
      </c>
      <c r="AA128" s="179" t="s">
        <v>286</v>
      </c>
      <c r="AB128" s="179" t="s">
        <v>286</v>
      </c>
      <c r="AC128" s="174">
        <v>0.6</v>
      </c>
      <c r="AD128" s="179" t="s">
        <v>287</v>
      </c>
      <c r="AE128" s="179" t="s">
        <v>287</v>
      </c>
      <c r="AF128" s="179" t="s">
        <v>287</v>
      </c>
      <c r="AG128" s="177" t="s">
        <v>284</v>
      </c>
      <c r="AH128" s="166"/>
      <c r="AI128" s="166"/>
    </row>
    <row r="129" spans="4:35" x14ac:dyDescent="0.3">
      <c r="F129" s="166"/>
      <c r="G129" s="166"/>
      <c r="H129" s="166"/>
      <c r="I129" s="166"/>
      <c r="J129" s="166"/>
      <c r="K129" s="165"/>
      <c r="U129" s="182">
        <v>600</v>
      </c>
      <c r="V129" s="180">
        <v>5</v>
      </c>
      <c r="W129" s="183">
        <f t="shared" ref="W129:Y135" si="33">+W$125*U129</f>
        <v>600</v>
      </c>
      <c r="X129" s="183">
        <f t="shared" si="33"/>
        <v>0.25</v>
      </c>
      <c r="Y129" s="183">
        <f t="shared" si="33"/>
        <v>120</v>
      </c>
      <c r="Z129" s="184">
        <f t="shared" ref="Z129:AB135" si="34">+W129/2*32/1000</f>
        <v>9.6</v>
      </c>
      <c r="AA129" s="184">
        <f t="shared" si="34"/>
        <v>4.0000000000000001E-3</v>
      </c>
      <c r="AB129" s="184">
        <f t="shared" si="34"/>
        <v>1.92</v>
      </c>
      <c r="AC129" s="176"/>
      <c r="AD129" s="184">
        <f t="shared" ref="AD129:AF135" si="35">+W129/2*40/1000*$AC$128</f>
        <v>7.1999999999999993</v>
      </c>
      <c r="AE129" s="184">
        <f t="shared" si="35"/>
        <v>3.0000000000000001E-3</v>
      </c>
      <c r="AF129" s="184">
        <f t="shared" si="35"/>
        <v>1.44</v>
      </c>
      <c r="AG129" s="180">
        <v>0.95</v>
      </c>
      <c r="AH129" s="166"/>
      <c r="AI129" s="166"/>
    </row>
    <row r="130" spans="4:35" x14ac:dyDescent="0.3">
      <c r="F130" s="166"/>
      <c r="G130" s="166"/>
      <c r="H130" s="166"/>
      <c r="I130" s="166"/>
      <c r="J130" s="166"/>
      <c r="K130" s="165"/>
      <c r="U130" s="182">
        <v>550</v>
      </c>
      <c r="V130" s="180">
        <f t="shared" ref="V130:V135" si="36">+V129+0.5</f>
        <v>5.5</v>
      </c>
      <c r="W130" s="183">
        <f t="shared" si="33"/>
        <v>550</v>
      </c>
      <c r="X130" s="183">
        <f t="shared" si="33"/>
        <v>0.27500000000000002</v>
      </c>
      <c r="Y130" s="183">
        <f t="shared" si="33"/>
        <v>110</v>
      </c>
      <c r="Z130" s="184">
        <f t="shared" si="34"/>
        <v>8.8000000000000007</v>
      </c>
      <c r="AA130" s="184">
        <f t="shared" si="34"/>
        <v>4.4000000000000003E-3</v>
      </c>
      <c r="AB130" s="184">
        <f t="shared" si="34"/>
        <v>1.76</v>
      </c>
      <c r="AC130" s="176"/>
      <c r="AD130" s="184">
        <f t="shared" si="35"/>
        <v>6.6</v>
      </c>
      <c r="AE130" s="224">
        <f t="shared" si="35"/>
        <v>3.2999999999999995E-3</v>
      </c>
      <c r="AF130" s="184">
        <f t="shared" si="35"/>
        <v>1.32</v>
      </c>
      <c r="AG130" s="180">
        <v>0.8</v>
      </c>
      <c r="AH130" s="166"/>
      <c r="AI130" s="166"/>
    </row>
    <row r="131" spans="4:35" x14ac:dyDescent="0.3">
      <c r="F131" s="166"/>
      <c r="G131" s="166"/>
      <c r="H131" s="166"/>
      <c r="I131" s="166"/>
      <c r="J131" s="166"/>
      <c r="K131" s="165"/>
      <c r="U131" s="182">
        <v>500</v>
      </c>
      <c r="V131" s="180">
        <f t="shared" si="36"/>
        <v>6</v>
      </c>
      <c r="W131" s="183">
        <f t="shared" si="33"/>
        <v>500</v>
      </c>
      <c r="X131" s="183">
        <f t="shared" si="33"/>
        <v>0.30000000000000004</v>
      </c>
      <c r="Y131" s="183">
        <f t="shared" si="33"/>
        <v>100</v>
      </c>
      <c r="Z131" s="184">
        <f t="shared" si="34"/>
        <v>8</v>
      </c>
      <c r="AA131" s="184">
        <f t="shared" si="34"/>
        <v>4.8000000000000004E-3</v>
      </c>
      <c r="AB131" s="184">
        <f t="shared" si="34"/>
        <v>1.6</v>
      </c>
      <c r="AC131" s="176"/>
      <c r="AD131" s="184">
        <f t="shared" si="35"/>
        <v>6</v>
      </c>
      <c r="AE131" s="184">
        <f t="shared" si="35"/>
        <v>3.6000000000000003E-3</v>
      </c>
      <c r="AF131" s="184">
        <f t="shared" si="35"/>
        <v>1.2</v>
      </c>
      <c r="AG131" s="180">
        <v>0.4</v>
      </c>
      <c r="AH131" s="166"/>
      <c r="AI131" s="166"/>
    </row>
    <row r="132" spans="4:35" x14ac:dyDescent="0.3">
      <c r="F132" s="166"/>
      <c r="G132" s="166"/>
      <c r="H132" s="166"/>
      <c r="I132" s="166"/>
      <c r="J132" s="166"/>
      <c r="K132" s="165"/>
      <c r="U132" s="182">
        <v>350</v>
      </c>
      <c r="V132" s="180">
        <f t="shared" si="36"/>
        <v>6.5</v>
      </c>
      <c r="W132" s="183">
        <f t="shared" si="33"/>
        <v>350</v>
      </c>
      <c r="X132" s="183">
        <f t="shared" si="33"/>
        <v>0.32500000000000001</v>
      </c>
      <c r="Y132" s="183">
        <f t="shared" si="33"/>
        <v>70</v>
      </c>
      <c r="Z132" s="184">
        <f t="shared" si="34"/>
        <v>5.6</v>
      </c>
      <c r="AA132" s="184">
        <f t="shared" si="34"/>
        <v>5.1999999999999998E-3</v>
      </c>
      <c r="AB132" s="184">
        <f t="shared" si="34"/>
        <v>1.1200000000000001</v>
      </c>
      <c r="AC132" s="176"/>
      <c r="AD132" s="184">
        <f t="shared" si="35"/>
        <v>4.2</v>
      </c>
      <c r="AE132" s="184">
        <f t="shared" si="35"/>
        <v>3.8999999999999998E-3</v>
      </c>
      <c r="AF132" s="184">
        <f t="shared" si="35"/>
        <v>0.84</v>
      </c>
      <c r="AG132" s="180">
        <v>0.25</v>
      </c>
      <c r="AH132" s="166"/>
      <c r="AI132" s="166"/>
    </row>
    <row r="133" spans="4:35" x14ac:dyDescent="0.3">
      <c r="F133" s="166"/>
      <c r="G133" s="166"/>
      <c r="H133" s="166"/>
      <c r="I133" s="166"/>
      <c r="J133" s="166"/>
      <c r="K133" s="165"/>
      <c r="U133" s="182">
        <v>250</v>
      </c>
      <c r="V133" s="180">
        <f t="shared" si="36"/>
        <v>7</v>
      </c>
      <c r="W133" s="183">
        <f t="shared" si="33"/>
        <v>250</v>
      </c>
      <c r="X133" s="183">
        <f t="shared" si="33"/>
        <v>0.35000000000000003</v>
      </c>
      <c r="Y133" s="183">
        <f t="shared" si="33"/>
        <v>50</v>
      </c>
      <c r="Z133" s="184">
        <f t="shared" si="34"/>
        <v>4</v>
      </c>
      <c r="AA133" s="184">
        <f t="shared" si="34"/>
        <v>5.6000000000000008E-3</v>
      </c>
      <c r="AB133" s="184">
        <f t="shared" si="34"/>
        <v>0.8</v>
      </c>
      <c r="AC133" s="176"/>
      <c r="AD133" s="184">
        <f t="shared" si="35"/>
        <v>3</v>
      </c>
      <c r="AE133" s="184">
        <f t="shared" si="35"/>
        <v>4.2000000000000006E-3</v>
      </c>
      <c r="AF133" s="184">
        <f t="shared" si="35"/>
        <v>0.6</v>
      </c>
      <c r="AG133" s="180">
        <v>0.15</v>
      </c>
      <c r="AH133" s="166"/>
      <c r="AI133" s="166"/>
    </row>
    <row r="134" spans="4:35" x14ac:dyDescent="0.3">
      <c r="F134" s="166"/>
      <c r="G134" s="166"/>
      <c r="H134" s="166"/>
      <c r="I134" s="166"/>
      <c r="J134" s="166"/>
      <c r="K134" s="165"/>
      <c r="U134" s="182">
        <v>100</v>
      </c>
      <c r="V134" s="180">
        <f t="shared" si="36"/>
        <v>7.5</v>
      </c>
      <c r="W134" s="183">
        <f t="shared" si="33"/>
        <v>100</v>
      </c>
      <c r="X134" s="183">
        <f t="shared" si="33"/>
        <v>0.375</v>
      </c>
      <c r="Y134" s="183">
        <f t="shared" si="33"/>
        <v>20</v>
      </c>
      <c r="Z134" s="184">
        <f t="shared" si="34"/>
        <v>1.6</v>
      </c>
      <c r="AA134" s="184">
        <f t="shared" si="34"/>
        <v>6.0000000000000001E-3</v>
      </c>
      <c r="AB134" s="184">
        <f t="shared" si="34"/>
        <v>0.32</v>
      </c>
      <c r="AC134" s="176"/>
      <c r="AD134" s="184">
        <f t="shared" si="35"/>
        <v>1.2</v>
      </c>
      <c r="AE134" s="184">
        <f t="shared" si="35"/>
        <v>4.4999999999999997E-3</v>
      </c>
      <c r="AF134" s="184">
        <f t="shared" si="35"/>
        <v>0.24</v>
      </c>
      <c r="AG134" s="180">
        <v>0.05</v>
      </c>
      <c r="AH134" s="166"/>
      <c r="AI134" s="166"/>
    </row>
    <row r="135" spans="4:35" x14ac:dyDescent="0.3">
      <c r="F135" s="166"/>
      <c r="G135" s="166"/>
      <c r="H135" s="166"/>
      <c r="I135" s="166"/>
      <c r="J135" s="166"/>
      <c r="K135" s="165"/>
      <c r="U135" s="182">
        <v>25</v>
      </c>
      <c r="V135" s="180">
        <f t="shared" si="36"/>
        <v>8</v>
      </c>
      <c r="W135" s="183">
        <f t="shared" si="33"/>
        <v>25</v>
      </c>
      <c r="X135" s="183">
        <f t="shared" si="33"/>
        <v>0.4</v>
      </c>
      <c r="Y135" s="183">
        <f t="shared" si="33"/>
        <v>5</v>
      </c>
      <c r="Z135" s="184">
        <f t="shared" si="34"/>
        <v>0.4</v>
      </c>
      <c r="AA135" s="184">
        <f t="shared" si="34"/>
        <v>6.4000000000000003E-3</v>
      </c>
      <c r="AB135" s="184">
        <f t="shared" si="34"/>
        <v>0.08</v>
      </c>
      <c r="AC135" s="176"/>
      <c r="AD135" s="184">
        <f t="shared" si="35"/>
        <v>0.3</v>
      </c>
      <c r="AE135" s="184">
        <f t="shared" si="35"/>
        <v>4.7999999999999996E-3</v>
      </c>
      <c r="AF135" s="184">
        <f t="shared" si="35"/>
        <v>0.06</v>
      </c>
      <c r="AG135" s="180">
        <v>0</v>
      </c>
      <c r="AH135" s="166"/>
      <c r="AI135" s="166"/>
    </row>
    <row r="136" spans="4:35" x14ac:dyDescent="0.3">
      <c r="F136" s="166"/>
      <c r="G136" s="166"/>
      <c r="H136" s="166"/>
      <c r="I136" s="166"/>
      <c r="J136" s="166"/>
      <c r="K136" s="165"/>
      <c r="U136" s="185" t="s">
        <v>289</v>
      </c>
      <c r="V136" s="180"/>
      <c r="W136" s="186" t="s">
        <v>289</v>
      </c>
      <c r="X136" s="186" t="s">
        <v>289</v>
      </c>
      <c r="Y136" s="186" t="s">
        <v>289</v>
      </c>
      <c r="Z136" s="184"/>
      <c r="AA136" s="179"/>
      <c r="AB136" s="179"/>
      <c r="AC136" s="182"/>
      <c r="AD136" s="184"/>
      <c r="AE136" s="184"/>
      <c r="AF136" s="184"/>
      <c r="AG136" s="180"/>
      <c r="AH136" s="166"/>
      <c r="AI136" s="166"/>
    </row>
    <row r="137" spans="4:35" x14ac:dyDescent="0.3">
      <c r="D137" s="166"/>
      <c r="E137" s="166"/>
      <c r="F137" s="166"/>
      <c r="G137" s="166"/>
      <c r="H137" s="166"/>
      <c r="I137" s="166"/>
      <c r="J137" s="166"/>
      <c r="K137" s="165"/>
      <c r="V137" s="167"/>
      <c r="W137" s="167"/>
      <c r="X137" s="166" t="s">
        <v>291</v>
      </c>
      <c r="Y137" s="167"/>
      <c r="Z137" s="167"/>
      <c r="AA137" s="167"/>
      <c r="AB137" s="167"/>
      <c r="AC137" s="166" t="s">
        <v>51</v>
      </c>
      <c r="AD137" s="166" t="s">
        <v>292</v>
      </c>
      <c r="AE137" s="167"/>
      <c r="AF137" s="167"/>
      <c r="AG137" s="167"/>
      <c r="AH137" s="166"/>
      <c r="AI137" s="166"/>
    </row>
    <row r="138" spans="4:35" x14ac:dyDescent="0.3">
      <c r="D138" s="166"/>
      <c r="E138" s="166"/>
      <c r="F138" s="166"/>
      <c r="G138" s="166"/>
      <c r="H138" s="166"/>
      <c r="I138" s="166"/>
      <c r="J138" s="166"/>
      <c r="K138" s="165"/>
      <c r="AC138" s="182">
        <v>8</v>
      </c>
      <c r="AD138" s="184">
        <v>150.5</v>
      </c>
      <c r="AE138" s="184"/>
      <c r="AF138" s="184"/>
      <c r="AG138" s="180"/>
      <c r="AH138" s="166"/>
      <c r="AI138" s="166"/>
    </row>
    <row r="139" spans="4:35" x14ac:dyDescent="0.3">
      <c r="D139" s="166"/>
      <c r="E139" s="166"/>
      <c r="F139" s="166"/>
      <c r="G139" s="166"/>
      <c r="H139" s="166"/>
      <c r="I139" s="166"/>
      <c r="J139" s="166"/>
      <c r="K139" s="165"/>
      <c r="AC139" s="182">
        <v>8</v>
      </c>
      <c r="AD139" s="184">
        <v>150.80000000000001</v>
      </c>
      <c r="AE139" s="184"/>
      <c r="AF139" s="184"/>
      <c r="AG139" s="180"/>
      <c r="AH139" s="166"/>
    </row>
    <row r="140" spans="4:35" x14ac:dyDescent="0.3">
      <c r="D140" s="166"/>
      <c r="E140" s="166"/>
      <c r="F140" s="166"/>
      <c r="G140" s="166"/>
      <c r="H140" s="166"/>
      <c r="I140" s="166"/>
      <c r="J140" s="166"/>
      <c r="K140" s="165"/>
      <c r="AC140" s="182">
        <v>8</v>
      </c>
      <c r="AD140" s="184">
        <v>137.19999999999999</v>
      </c>
      <c r="AE140" s="184"/>
      <c r="AF140" s="184"/>
      <c r="AG140" s="180"/>
      <c r="AH140" s="166"/>
    </row>
    <row r="141" spans="4:35" x14ac:dyDescent="0.3">
      <c r="D141" s="166"/>
      <c r="E141" s="166"/>
      <c r="F141" s="166"/>
      <c r="G141" s="166"/>
      <c r="H141" s="166"/>
      <c r="I141" s="166"/>
      <c r="J141" s="166"/>
      <c r="K141" s="165"/>
      <c r="AC141" s="182">
        <v>8</v>
      </c>
      <c r="AD141" s="184">
        <v>123.8</v>
      </c>
      <c r="AE141" s="184"/>
      <c r="AF141" s="184"/>
      <c r="AG141" s="180"/>
      <c r="AH141" s="166"/>
    </row>
    <row r="142" spans="4:35" x14ac:dyDescent="0.3">
      <c r="D142" s="166"/>
      <c r="E142" s="166"/>
      <c r="F142" s="166"/>
      <c r="G142" s="166"/>
      <c r="H142" s="166"/>
      <c r="I142" s="166"/>
      <c r="J142" s="166"/>
      <c r="K142" s="165"/>
      <c r="AC142" s="182"/>
      <c r="AD142" s="184"/>
      <c r="AE142" s="184"/>
      <c r="AF142" s="184"/>
      <c r="AG142" s="180"/>
      <c r="AH142" s="166"/>
    </row>
    <row r="143" spans="4:35" x14ac:dyDescent="0.3">
      <c r="D143" s="166"/>
      <c r="E143" s="166"/>
      <c r="F143" s="166"/>
      <c r="G143" s="166"/>
      <c r="H143" s="166"/>
      <c r="I143" s="166"/>
      <c r="J143" s="166"/>
      <c r="K143" s="165"/>
      <c r="AC143" s="182">
        <v>8</v>
      </c>
      <c r="AD143" s="184">
        <v>238</v>
      </c>
      <c r="AE143" s="184">
        <v>64.2</v>
      </c>
      <c r="AF143" s="184"/>
      <c r="AG143" s="180"/>
      <c r="AH143" s="166"/>
    </row>
    <row r="144" spans="4:35" x14ac:dyDescent="0.3">
      <c r="D144" s="166"/>
      <c r="E144" s="166"/>
      <c r="F144" s="166"/>
      <c r="G144" s="166"/>
      <c r="H144" s="166"/>
      <c r="I144" s="166"/>
      <c r="J144" s="166"/>
      <c r="K144" s="165"/>
      <c r="AC144" s="182">
        <v>8</v>
      </c>
      <c r="AD144" s="184">
        <v>189.8</v>
      </c>
      <c r="AE144" s="184">
        <v>49.4</v>
      </c>
      <c r="AF144" s="184"/>
      <c r="AG144" s="180"/>
      <c r="AH144" s="166"/>
    </row>
    <row r="145" spans="4:34" x14ac:dyDescent="0.3">
      <c r="D145" s="166"/>
      <c r="E145" s="166"/>
      <c r="F145" s="166"/>
      <c r="G145" s="166"/>
      <c r="H145" s="166"/>
      <c r="I145" s="166"/>
      <c r="J145" s="166"/>
      <c r="K145" s="165"/>
      <c r="AC145" s="182">
        <v>8</v>
      </c>
      <c r="AD145" s="184">
        <v>150.5</v>
      </c>
      <c r="AE145" s="184">
        <v>34.9</v>
      </c>
      <c r="AF145" s="184"/>
      <c r="AG145" s="180"/>
      <c r="AH145" s="166"/>
    </row>
    <row r="146" spans="4:34" x14ac:dyDescent="0.3">
      <c r="D146" s="166"/>
      <c r="E146" s="166"/>
      <c r="F146" s="166"/>
      <c r="G146" s="166"/>
      <c r="H146" s="166"/>
      <c r="I146" s="166"/>
      <c r="J146" s="166"/>
      <c r="K146" s="165"/>
      <c r="AC146" s="182">
        <v>8</v>
      </c>
      <c r="AD146" s="184">
        <v>120.3</v>
      </c>
      <c r="AE146" s="184">
        <v>31.6</v>
      </c>
      <c r="AF146" s="184"/>
      <c r="AG146" s="180"/>
      <c r="AH146" s="166"/>
    </row>
    <row r="147" spans="4:34" x14ac:dyDescent="0.3">
      <c r="D147" s="166"/>
      <c r="E147" s="166"/>
      <c r="F147" s="166"/>
      <c r="G147" s="166"/>
      <c r="H147" s="166"/>
      <c r="I147" s="166"/>
      <c r="J147" s="166"/>
      <c r="K147" s="165"/>
      <c r="AC147" s="182"/>
      <c r="AD147" s="184"/>
      <c r="AE147" s="184"/>
      <c r="AF147" s="184"/>
      <c r="AG147" s="180"/>
      <c r="AH147" s="166"/>
    </row>
    <row r="148" spans="4:34" x14ac:dyDescent="0.3">
      <c r="D148" s="166"/>
      <c r="E148" s="166"/>
      <c r="F148" s="166"/>
      <c r="G148" s="166"/>
      <c r="H148" s="166"/>
      <c r="I148" s="166"/>
      <c r="J148" s="166"/>
      <c r="K148" s="165"/>
      <c r="AC148" s="182"/>
      <c r="AD148" s="184"/>
      <c r="AE148" s="184"/>
      <c r="AF148" s="184"/>
      <c r="AG148" s="180"/>
      <c r="AH148" s="166"/>
    </row>
    <row r="149" spans="4:34" x14ac:dyDescent="0.3">
      <c r="D149" s="166"/>
      <c r="E149" s="166"/>
      <c r="F149" s="166"/>
      <c r="G149" s="166"/>
      <c r="H149" s="166"/>
      <c r="I149" s="166"/>
      <c r="J149" s="166"/>
      <c r="K149" s="165"/>
      <c r="AC149" s="182"/>
      <c r="AD149" s="184"/>
      <c r="AE149" s="184"/>
      <c r="AF149" s="184"/>
      <c r="AG149" s="180"/>
      <c r="AH149" s="166"/>
    </row>
    <row r="150" spans="4:34" x14ac:dyDescent="0.3">
      <c r="D150" s="166"/>
      <c r="E150" s="166"/>
      <c r="F150" s="166"/>
      <c r="G150" s="166"/>
      <c r="H150" s="166"/>
      <c r="I150" s="166"/>
      <c r="J150" s="166"/>
      <c r="K150" s="165"/>
      <c r="AH150" s="166"/>
    </row>
    <row r="151" spans="4:34" x14ac:dyDescent="0.3">
      <c r="D151" s="166"/>
      <c r="E151" s="166"/>
      <c r="F151" s="166"/>
      <c r="G151" s="166"/>
      <c r="H151" s="166"/>
      <c r="I151" s="166"/>
      <c r="J151" s="166"/>
      <c r="K151" s="165"/>
    </row>
    <row r="152" spans="4:34" x14ac:dyDescent="0.3">
      <c r="D152" s="166"/>
      <c r="E152" s="166"/>
      <c r="F152" s="166"/>
      <c r="G152" s="166"/>
      <c r="H152" s="166"/>
      <c r="I152" s="166"/>
      <c r="J152" s="166"/>
      <c r="K152" s="165"/>
    </row>
    <row r="153" spans="4:34" x14ac:dyDescent="0.3">
      <c r="D153" s="166"/>
      <c r="E153" s="166"/>
      <c r="F153" s="166"/>
      <c r="G153" s="166"/>
      <c r="H153" s="166"/>
      <c r="I153" s="166"/>
      <c r="J153" s="166"/>
      <c r="K153" s="165"/>
    </row>
    <row r="154" spans="4:34" x14ac:dyDescent="0.3">
      <c r="D154" s="166"/>
      <c r="E154" s="166"/>
      <c r="F154" s="166"/>
      <c r="G154" s="166"/>
      <c r="H154" s="166"/>
      <c r="I154" s="166"/>
      <c r="J154" s="166"/>
      <c r="K154" s="165"/>
    </row>
    <row r="155" spans="4:34" x14ac:dyDescent="0.3">
      <c r="D155" s="166"/>
      <c r="E155" s="166"/>
      <c r="F155" s="166"/>
      <c r="G155" s="166"/>
      <c r="H155" s="166"/>
      <c r="I155" s="166"/>
      <c r="J155" s="166"/>
      <c r="K155" s="165"/>
    </row>
    <row r="156" spans="4:34" x14ac:dyDescent="0.3">
      <c r="D156" s="166"/>
      <c r="E156" s="166"/>
      <c r="F156" s="166"/>
      <c r="G156" s="166"/>
      <c r="H156" s="166"/>
      <c r="I156" s="166"/>
      <c r="J156" s="166"/>
      <c r="K156" s="165"/>
    </row>
    <row r="157" spans="4:34" x14ac:dyDescent="0.3">
      <c r="D157" s="166"/>
      <c r="E157" s="166"/>
      <c r="F157" s="166"/>
      <c r="G157" s="166"/>
      <c r="H157" s="166"/>
      <c r="I157" s="166"/>
      <c r="J157" s="166"/>
      <c r="K157" s="165"/>
    </row>
    <row r="158" spans="4:34" x14ac:dyDescent="0.3">
      <c r="D158" s="166"/>
      <c r="E158" s="166"/>
      <c r="F158" s="166"/>
      <c r="G158" s="166"/>
      <c r="H158" s="166"/>
      <c r="I158" s="166"/>
      <c r="J158" s="166"/>
      <c r="K158" s="165"/>
    </row>
    <row r="159" spans="4:34" x14ac:dyDescent="0.3">
      <c r="D159" s="166"/>
      <c r="E159" s="166"/>
      <c r="F159" s="166"/>
      <c r="G159" s="166"/>
      <c r="H159" s="166"/>
      <c r="I159" s="166"/>
      <c r="J159" s="166"/>
      <c r="K159" s="165"/>
    </row>
    <row r="160" spans="4:34" x14ac:dyDescent="0.3">
      <c r="D160" s="166"/>
      <c r="E160" s="166"/>
      <c r="F160" s="166"/>
      <c r="G160" s="166"/>
      <c r="H160" s="166"/>
      <c r="I160" s="166"/>
      <c r="J160" s="166"/>
      <c r="K160" s="165"/>
    </row>
    <row r="161" spans="4:11" x14ac:dyDescent="0.3">
      <c r="D161" s="166"/>
      <c r="E161" s="166"/>
      <c r="F161" s="166"/>
      <c r="G161" s="166"/>
      <c r="H161" s="166"/>
      <c r="I161" s="166"/>
      <c r="J161" s="166"/>
      <c r="K161" s="165"/>
    </row>
    <row r="162" spans="4:11" x14ac:dyDescent="0.3">
      <c r="D162" s="166"/>
      <c r="E162" s="166"/>
      <c r="F162" s="166"/>
      <c r="G162" s="166"/>
      <c r="H162" s="166"/>
      <c r="I162" s="166"/>
      <c r="J162" s="166"/>
      <c r="K162" s="165"/>
    </row>
    <row r="163" spans="4:11" x14ac:dyDescent="0.3">
      <c r="D163" s="166"/>
      <c r="E163" s="166"/>
      <c r="F163" s="166"/>
      <c r="G163" s="166"/>
      <c r="H163" s="166"/>
      <c r="I163" s="166"/>
      <c r="J163" s="166"/>
      <c r="K163" s="165"/>
    </row>
    <row r="164" spans="4:11" x14ac:dyDescent="0.3">
      <c r="D164" s="166"/>
      <c r="E164" s="166"/>
      <c r="F164" s="166"/>
      <c r="G164" s="166"/>
      <c r="H164" s="166"/>
      <c r="I164" s="166"/>
      <c r="J164" s="166"/>
      <c r="K164" s="165"/>
    </row>
  </sheetData>
  <mergeCells count="5">
    <mergeCell ref="Y92:Y93"/>
    <mergeCell ref="Y99:Y100"/>
    <mergeCell ref="G16:H16"/>
    <mergeCell ref="I17:K17"/>
    <mergeCell ref="I57:K57"/>
  </mergeCells>
  <phoneticPr fontId="55" type="noConversion"/>
  <pageMargins left="0.7" right="0.7" top="0.75" bottom="0.75" header="0.3" footer="0.3"/>
  <pageSetup paperSize="9" orientation="portrait"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Blad18"/>
  <dimension ref="A1:AU1000"/>
  <sheetViews>
    <sheetView workbookViewId="0">
      <pane xSplit="1" topLeftCell="B1" activePane="topRight" state="frozen"/>
      <selection pane="topRight" activeCell="C2" sqref="C2"/>
    </sheetView>
  </sheetViews>
  <sheetFormatPr defaultColWidth="12.5" defaultRowHeight="15.05" customHeight="1" x14ac:dyDescent="0.25"/>
  <cols>
    <col min="1" max="1" width="11.5" customWidth="1"/>
    <col min="2" max="2" width="5.69921875" customWidth="1"/>
    <col min="3" max="3" width="9.5" customWidth="1"/>
    <col min="4" max="4" width="9.19921875" customWidth="1"/>
    <col min="5" max="5" width="10" customWidth="1"/>
    <col min="6" max="7" width="9.5" customWidth="1"/>
    <col min="8" max="8" width="9.19921875" customWidth="1"/>
    <col min="9" max="9" width="8.5" customWidth="1"/>
    <col min="10" max="10" width="6.5" customWidth="1"/>
    <col min="11" max="11" width="9" customWidth="1"/>
    <col min="12" max="13" width="8" customWidth="1"/>
    <col min="14" max="14" width="8.69921875" customWidth="1"/>
    <col min="15" max="15" width="5.5" customWidth="1"/>
    <col min="16" max="16" width="12.5" customWidth="1"/>
    <col min="17" max="18" width="5.69921875" customWidth="1"/>
    <col min="19" max="19" width="5.5" customWidth="1"/>
    <col min="20" max="21" width="5.69921875" customWidth="1"/>
    <col min="22" max="22" width="6.69921875" customWidth="1"/>
    <col min="23" max="23" width="10.5" customWidth="1"/>
    <col min="24" max="24" width="6.69921875" customWidth="1"/>
    <col min="25" max="47" width="5.69921875" customWidth="1"/>
  </cols>
  <sheetData>
    <row r="1" spans="1:47" ht="30.05" customHeight="1" x14ac:dyDescent="0.3">
      <c r="A1" s="2"/>
      <c r="B1" s="33" t="s">
        <v>106</v>
      </c>
      <c r="C1" s="2"/>
      <c r="D1" s="2"/>
      <c r="E1" s="2" t="s">
        <v>107</v>
      </c>
      <c r="F1" s="2"/>
      <c r="G1" s="2"/>
      <c r="H1" s="2"/>
      <c r="I1" s="2"/>
      <c r="J1" s="2"/>
      <c r="K1" s="2" t="s">
        <v>53</v>
      </c>
      <c r="L1" s="2"/>
      <c r="M1" s="2"/>
      <c r="N1" s="2"/>
      <c r="O1" s="34"/>
      <c r="P1" s="2"/>
      <c r="Q1" s="35"/>
      <c r="R1" s="25"/>
      <c r="S1" s="2"/>
      <c r="T1" s="2"/>
      <c r="U1" s="2"/>
      <c r="V1" s="2"/>
      <c r="W1" s="2"/>
      <c r="X1" s="2"/>
      <c r="Y1" s="1"/>
      <c r="Z1" s="1"/>
      <c r="AA1" s="2"/>
      <c r="AB1" s="2"/>
      <c r="AC1" s="2"/>
      <c r="AD1" s="2"/>
      <c r="AE1" s="2"/>
      <c r="AF1" s="2"/>
      <c r="AG1" s="2"/>
      <c r="AH1" s="2"/>
      <c r="AI1" s="2"/>
      <c r="AJ1" s="2"/>
      <c r="AK1" s="2"/>
      <c r="AL1" s="2"/>
      <c r="AM1" s="2"/>
      <c r="AN1" s="2"/>
      <c r="AO1" s="2"/>
      <c r="AP1" s="2"/>
      <c r="AQ1" s="2"/>
      <c r="AR1" s="2"/>
      <c r="AS1" s="2"/>
      <c r="AT1" s="2"/>
      <c r="AU1" s="2"/>
    </row>
    <row r="2" spans="1:47" ht="14.25" customHeight="1" x14ac:dyDescent="0.3">
      <c r="A2" s="2"/>
      <c r="B2" s="2"/>
      <c r="C2" s="533" t="s">
        <v>63</v>
      </c>
      <c r="D2" s="534"/>
      <c r="E2" s="2" t="s">
        <v>111</v>
      </c>
      <c r="F2" s="2"/>
      <c r="G2" s="2"/>
      <c r="H2" s="2"/>
      <c r="I2" s="2"/>
      <c r="J2" s="2"/>
      <c r="K2" s="2" t="s">
        <v>112</v>
      </c>
      <c r="L2" s="2"/>
      <c r="M2" s="2"/>
      <c r="N2" s="2"/>
      <c r="O2" s="2"/>
      <c r="P2" s="2"/>
      <c r="Q2" s="35"/>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row>
    <row r="3" spans="1:47" ht="14.25" customHeight="1" x14ac:dyDescent="0.3">
      <c r="A3" s="2"/>
      <c r="B3" s="2"/>
      <c r="C3" s="2"/>
      <c r="D3" s="2"/>
      <c r="E3" s="25" t="s">
        <v>146</v>
      </c>
      <c r="F3" s="2" t="s">
        <v>1</v>
      </c>
      <c r="G3" s="2"/>
      <c r="H3" s="25" t="s">
        <v>64</v>
      </c>
      <c r="I3" s="2" t="s">
        <v>1</v>
      </c>
      <c r="J3" s="2"/>
      <c r="K3" s="25" t="s">
        <v>49</v>
      </c>
      <c r="L3" s="2" t="s">
        <v>1</v>
      </c>
      <c r="M3" s="2"/>
      <c r="N3" s="25" t="s">
        <v>64</v>
      </c>
      <c r="O3" s="2" t="s">
        <v>1</v>
      </c>
      <c r="P3" s="2"/>
      <c r="Q3" s="2"/>
      <c r="R3" s="2"/>
      <c r="S3" s="36"/>
      <c r="T3" s="2"/>
      <c r="U3" s="2"/>
      <c r="V3" s="2"/>
      <c r="W3" s="36"/>
      <c r="X3" s="2"/>
      <c r="Y3" s="2"/>
      <c r="Z3" s="2"/>
      <c r="AA3" s="2"/>
      <c r="AB3" s="2"/>
      <c r="AC3" s="2"/>
      <c r="AD3" s="2"/>
      <c r="AE3" s="2"/>
      <c r="AF3" s="2"/>
      <c r="AG3" s="2"/>
      <c r="AH3" s="2"/>
      <c r="AI3" s="2"/>
      <c r="AJ3" s="2"/>
      <c r="AK3" s="2"/>
      <c r="AL3" s="2"/>
      <c r="AM3" s="2"/>
      <c r="AN3" s="2"/>
      <c r="AO3" s="2"/>
      <c r="AP3" s="37" t="s">
        <v>147</v>
      </c>
      <c r="AQ3" s="38"/>
      <c r="AR3" s="38"/>
      <c r="AS3" s="38"/>
      <c r="AT3" s="38"/>
      <c r="AU3" s="38"/>
    </row>
    <row r="4" spans="1:47" ht="14.25" customHeight="1" x14ac:dyDescent="0.3">
      <c r="A4" s="39" t="s">
        <v>70</v>
      </c>
      <c r="B4" s="2"/>
      <c r="C4" s="31">
        <v>1</v>
      </c>
      <c r="D4" s="28"/>
      <c r="E4" s="40" t="s">
        <v>71</v>
      </c>
      <c r="F4" s="73">
        <f>(F7+F8)/1000</f>
        <v>0.12183177368421053</v>
      </c>
      <c r="G4" s="2"/>
      <c r="H4" s="40" t="s">
        <v>71</v>
      </c>
      <c r="I4" s="74">
        <f>(I8+I7)/1000</f>
        <v>0.88635822631578942</v>
      </c>
      <c r="J4" s="2"/>
      <c r="K4" s="40" t="s">
        <v>71</v>
      </c>
      <c r="L4" s="74">
        <f>(L7+L8)/1000</f>
        <v>0.19822126381578944</v>
      </c>
      <c r="M4" s="2"/>
      <c r="N4" s="40" t="s">
        <v>71</v>
      </c>
      <c r="O4" s="74">
        <f>(O8+O7)/1000</f>
        <v>0.7047269625</v>
      </c>
      <c r="P4" s="2"/>
      <c r="Q4" s="35"/>
      <c r="R4" s="29"/>
      <c r="S4" s="2"/>
      <c r="T4" s="2"/>
      <c r="U4" s="2"/>
      <c r="V4" s="2"/>
      <c r="W4" s="2"/>
      <c r="X4" s="2"/>
      <c r="Y4" s="2"/>
      <c r="Z4" s="2"/>
      <c r="AA4" s="2"/>
      <c r="AB4" s="2"/>
      <c r="AC4" s="2"/>
      <c r="AD4" s="2"/>
      <c r="AE4" s="2"/>
      <c r="AF4" s="2"/>
      <c r="AG4" s="2"/>
      <c r="AH4" s="2"/>
      <c r="AI4" s="2"/>
      <c r="AJ4" s="2"/>
      <c r="AK4" s="2"/>
      <c r="AL4" s="2"/>
      <c r="AM4" s="2"/>
      <c r="AN4" s="2"/>
      <c r="AO4" s="2"/>
      <c r="AP4" s="41" t="s">
        <v>0</v>
      </c>
      <c r="AQ4" s="42" t="s">
        <v>115</v>
      </c>
      <c r="AR4" s="42" t="s">
        <v>107</v>
      </c>
      <c r="AS4" s="42" t="s">
        <v>108</v>
      </c>
      <c r="AT4" s="42" t="s">
        <v>109</v>
      </c>
      <c r="AU4" s="42" t="s">
        <v>53</v>
      </c>
    </row>
    <row r="5" spans="1:47" ht="14.25" customHeight="1" x14ac:dyDescent="0.3">
      <c r="A5" s="27"/>
      <c r="B5" s="2"/>
      <c r="C5" s="31"/>
      <c r="D5" s="28"/>
      <c r="E5" s="40" t="s">
        <v>148</v>
      </c>
      <c r="F5" s="75">
        <f>F4/C4*100</f>
        <v>12.183177368421052</v>
      </c>
      <c r="G5" s="2"/>
      <c r="H5" s="40" t="s">
        <v>149</v>
      </c>
      <c r="I5" s="74"/>
      <c r="J5" s="2"/>
      <c r="K5" s="40" t="s">
        <v>148</v>
      </c>
      <c r="L5" s="75">
        <f>L4/I4*100</f>
        <v>22.363561134837113</v>
      </c>
      <c r="M5" s="2"/>
      <c r="N5" s="40" t="s">
        <v>149</v>
      </c>
      <c r="O5" s="74"/>
      <c r="P5" s="2"/>
      <c r="Q5" s="35"/>
      <c r="R5" s="29"/>
      <c r="S5" s="2"/>
      <c r="T5" s="2"/>
      <c r="U5" s="2"/>
      <c r="V5" s="2"/>
      <c r="W5" s="2"/>
      <c r="X5" s="2"/>
      <c r="Y5" s="2"/>
      <c r="Z5" s="2"/>
      <c r="AA5" s="2"/>
      <c r="AB5" s="2"/>
      <c r="AC5" s="2"/>
      <c r="AD5" s="2"/>
      <c r="AE5" s="2"/>
      <c r="AF5" s="2"/>
      <c r="AG5" s="2"/>
      <c r="AH5" s="2"/>
      <c r="AI5" s="2"/>
      <c r="AJ5" s="2"/>
      <c r="AK5" s="2"/>
      <c r="AL5" s="2"/>
      <c r="AM5" s="2"/>
      <c r="AN5" s="2"/>
      <c r="AO5" s="2"/>
      <c r="AP5" s="43"/>
      <c r="AQ5" s="42"/>
      <c r="AR5" s="42"/>
      <c r="AS5" s="42"/>
      <c r="AT5" s="42"/>
      <c r="AU5" s="42"/>
    </row>
    <row r="6" spans="1:47" ht="14.25" customHeight="1" x14ac:dyDescent="0.3">
      <c r="A6" s="2"/>
      <c r="B6" s="2"/>
      <c r="C6" s="2" t="s">
        <v>72</v>
      </c>
      <c r="D6" s="2" t="s">
        <v>73</v>
      </c>
      <c r="E6" s="76"/>
      <c r="F6" s="69" t="s">
        <v>73</v>
      </c>
      <c r="G6" s="65" t="s">
        <v>72</v>
      </c>
      <c r="H6" s="26"/>
      <c r="I6" s="26" t="s">
        <v>73</v>
      </c>
      <c r="J6" s="65" t="s">
        <v>72</v>
      </c>
      <c r="K6" s="76"/>
      <c r="L6" s="69" t="s">
        <v>73</v>
      </c>
      <c r="M6" s="65" t="s">
        <v>72</v>
      </c>
      <c r="N6" s="26"/>
      <c r="O6" s="26" t="s">
        <v>73</v>
      </c>
      <c r="P6" s="65" t="s">
        <v>72</v>
      </c>
      <c r="Q6" s="35"/>
      <c r="R6" s="32"/>
      <c r="S6" s="2"/>
      <c r="T6" s="2"/>
      <c r="U6" s="2"/>
      <c r="V6" s="2"/>
      <c r="W6" s="2"/>
      <c r="X6" s="2"/>
      <c r="Y6" s="2"/>
      <c r="Z6" s="2"/>
      <c r="AA6" s="2"/>
      <c r="AB6" s="2"/>
      <c r="AC6" s="2"/>
      <c r="AD6" s="2"/>
      <c r="AE6" s="2"/>
      <c r="AF6" s="2"/>
      <c r="AG6" s="2"/>
      <c r="AH6" s="2"/>
      <c r="AI6" s="2"/>
      <c r="AJ6" s="2"/>
      <c r="AK6" s="2"/>
      <c r="AL6" s="44"/>
      <c r="AM6" s="2"/>
      <c r="AN6" s="2"/>
      <c r="AO6" s="2"/>
      <c r="AP6" s="535" t="s">
        <v>116</v>
      </c>
      <c r="AQ6" s="45" t="s">
        <v>117</v>
      </c>
      <c r="AR6" s="46">
        <v>12</v>
      </c>
      <c r="AS6" s="46">
        <v>13</v>
      </c>
      <c r="AT6" s="47"/>
      <c r="AU6" s="47"/>
    </row>
    <row r="7" spans="1:47" ht="14.25" customHeight="1" x14ac:dyDescent="0.3">
      <c r="A7" s="4" t="s">
        <v>2</v>
      </c>
      <c r="B7" s="5" t="s">
        <v>3</v>
      </c>
      <c r="C7" s="2"/>
      <c r="D7" s="30">
        <f>C4*1000-D8</f>
        <v>924</v>
      </c>
      <c r="E7" s="5">
        <v>9</v>
      </c>
      <c r="F7" s="72">
        <f>(D7)*E7%</f>
        <v>83.16</v>
      </c>
      <c r="G7" s="71"/>
      <c r="H7" s="77">
        <f>100-E7</f>
        <v>91</v>
      </c>
      <c r="I7" s="70">
        <f>(D7+E7)*H7%</f>
        <v>849.03</v>
      </c>
      <c r="J7" s="71"/>
      <c r="K7" s="5">
        <v>21</v>
      </c>
      <c r="L7" s="72">
        <f>(I7)*K7%</f>
        <v>178.29629999999997</v>
      </c>
      <c r="M7" s="71"/>
      <c r="N7" s="77">
        <f>100-K7</f>
        <v>79</v>
      </c>
      <c r="O7" s="70">
        <f>(I7+K7)*N7%</f>
        <v>687.32370000000003</v>
      </c>
      <c r="P7" s="78">
        <f>O4*1000-P8</f>
        <v>685.09239265758106</v>
      </c>
      <c r="Q7" s="48"/>
      <c r="R7" s="79"/>
      <c r="S7" s="2"/>
      <c r="T7" s="2"/>
      <c r="U7" s="2"/>
      <c r="V7" s="2"/>
      <c r="W7" s="2"/>
      <c r="X7" s="2"/>
      <c r="Y7" s="2"/>
      <c r="Z7" s="2"/>
      <c r="AA7" s="2"/>
      <c r="AB7" s="2"/>
      <c r="AC7" s="2"/>
      <c r="AD7" s="2"/>
      <c r="AE7" s="2"/>
      <c r="AF7" s="2"/>
      <c r="AG7" s="2"/>
      <c r="AH7" s="2"/>
      <c r="AI7" s="2"/>
      <c r="AJ7" s="2"/>
      <c r="AK7" s="2"/>
      <c r="AL7" s="2"/>
      <c r="AM7" s="2"/>
      <c r="AN7" s="2"/>
      <c r="AO7" s="2"/>
      <c r="AP7" s="536"/>
      <c r="AQ7" s="45"/>
      <c r="AR7" s="46"/>
      <c r="AS7" s="46"/>
      <c r="AT7" s="47"/>
      <c r="AU7" s="47"/>
    </row>
    <row r="8" spans="1:47" ht="14.25" customHeight="1" x14ac:dyDescent="0.3">
      <c r="A8" s="7" t="s">
        <v>4</v>
      </c>
      <c r="B8" s="6"/>
      <c r="C8" s="9">
        <v>76</v>
      </c>
      <c r="D8" s="49">
        <f>C8*$C$4</f>
        <v>76</v>
      </c>
      <c r="E8" s="50" t="s">
        <v>74</v>
      </c>
      <c r="F8" s="66">
        <f>F10+F14</f>
        <v>38.671773684210528</v>
      </c>
      <c r="G8" s="30">
        <f t="shared" ref="G8:G47" si="0">F8/$F$4</f>
        <v>317.41944252119521</v>
      </c>
      <c r="H8" s="80" t="s">
        <v>74</v>
      </c>
      <c r="I8" s="68">
        <f>I10+I14</f>
        <v>37.328226315789472</v>
      </c>
      <c r="J8" s="30">
        <f t="shared" ref="J8:J47" si="1">I8/$I$4</f>
        <v>42.114153406063458</v>
      </c>
      <c r="K8" s="50" t="s">
        <v>74</v>
      </c>
      <c r="L8" s="66">
        <f>L10+L14</f>
        <v>19.924963815789475</v>
      </c>
      <c r="M8" s="30">
        <f t="shared" ref="M8:M47" si="2">L8/$L$4</f>
        <v>100.51880122359677</v>
      </c>
      <c r="N8" s="80" t="s">
        <v>74</v>
      </c>
      <c r="O8" s="68">
        <f>O10+O14</f>
        <v>17.4032625</v>
      </c>
      <c r="P8" s="30">
        <f t="shared" ref="P8:P47" si="3">O8/$I$4</f>
        <v>19.634569842419008</v>
      </c>
      <c r="Q8" s="2"/>
      <c r="R8" s="25"/>
      <c r="S8" s="2"/>
      <c r="T8" s="2"/>
      <c r="U8" s="2"/>
      <c r="V8" s="2"/>
      <c r="W8" s="2"/>
      <c r="X8" s="2"/>
      <c r="Y8" s="2"/>
      <c r="Z8" s="2"/>
      <c r="AA8" s="2"/>
      <c r="AB8" s="2"/>
      <c r="AC8" s="2"/>
      <c r="AD8" s="2"/>
      <c r="AE8" s="2"/>
      <c r="AF8" s="2"/>
      <c r="AG8" s="2"/>
      <c r="AH8" s="2"/>
      <c r="AI8" s="2"/>
      <c r="AJ8" s="2"/>
      <c r="AK8" s="2"/>
      <c r="AL8" s="2"/>
      <c r="AM8" s="2"/>
      <c r="AN8" s="2"/>
      <c r="AO8" s="2"/>
      <c r="AP8" s="537"/>
      <c r="AQ8" s="45" t="s">
        <v>118</v>
      </c>
      <c r="AR8" s="46">
        <v>21</v>
      </c>
      <c r="AS8" s="46">
        <v>34</v>
      </c>
      <c r="AT8" s="51">
        <v>20</v>
      </c>
      <c r="AU8" s="52">
        <v>31</v>
      </c>
    </row>
    <row r="9" spans="1:47" ht="14.25" customHeight="1" x14ac:dyDescent="0.3">
      <c r="A9" s="10"/>
      <c r="B9" s="10"/>
      <c r="C9" s="10"/>
      <c r="D9" s="10"/>
      <c r="E9" s="40" t="s">
        <v>150</v>
      </c>
      <c r="F9" s="66"/>
      <c r="G9" s="30">
        <f t="shared" si="0"/>
        <v>0</v>
      </c>
      <c r="H9" s="40" t="s">
        <v>75</v>
      </c>
      <c r="I9" s="68"/>
      <c r="J9" s="30">
        <f t="shared" si="1"/>
        <v>0</v>
      </c>
      <c r="K9" s="40" t="s">
        <v>150</v>
      </c>
      <c r="L9" s="66"/>
      <c r="M9" s="30">
        <f t="shared" si="2"/>
        <v>0</v>
      </c>
      <c r="N9" s="40" t="s">
        <v>75</v>
      </c>
      <c r="O9" s="68"/>
      <c r="P9" s="30">
        <f t="shared" si="3"/>
        <v>0</v>
      </c>
      <c r="Q9" s="2"/>
      <c r="R9" s="25"/>
      <c r="S9" s="2"/>
      <c r="T9" s="2"/>
      <c r="U9" s="2"/>
      <c r="V9" s="2"/>
      <c r="W9" s="2"/>
      <c r="X9" s="2"/>
      <c r="Y9" s="2"/>
      <c r="Z9" s="2"/>
      <c r="AA9" s="2"/>
      <c r="AB9" s="2"/>
      <c r="AC9" s="2"/>
      <c r="AD9" s="2"/>
      <c r="AE9" s="2"/>
      <c r="AF9" s="2"/>
      <c r="AG9" s="2"/>
      <c r="AH9" s="2"/>
      <c r="AI9" s="2"/>
      <c r="AJ9" s="2"/>
      <c r="AK9" s="2"/>
      <c r="AL9" s="2"/>
      <c r="AM9" s="2"/>
      <c r="AN9" s="2"/>
      <c r="AO9" s="2"/>
      <c r="AP9" s="53"/>
      <c r="AQ9" s="45"/>
      <c r="AR9" s="46"/>
      <c r="AS9" s="46"/>
      <c r="AT9" s="51"/>
      <c r="AU9" s="52"/>
    </row>
    <row r="10" spans="1:47" ht="14.25" customHeight="1" x14ac:dyDescent="0.3">
      <c r="A10" s="11" t="s">
        <v>5</v>
      </c>
      <c r="B10" s="8" t="s">
        <v>6</v>
      </c>
      <c r="C10" s="12">
        <f>C12+C13</f>
        <v>24.000000000000004</v>
      </c>
      <c r="D10" s="10">
        <f>C10*$C$4</f>
        <v>24.000000000000004</v>
      </c>
      <c r="E10" s="50" t="s">
        <v>76</v>
      </c>
      <c r="F10" s="66">
        <f>F12+F13</f>
        <v>16.857773684210528</v>
      </c>
      <c r="G10" s="30">
        <f t="shared" si="0"/>
        <v>138.36927079389065</v>
      </c>
      <c r="H10" s="50" t="s">
        <v>76</v>
      </c>
      <c r="I10" s="68">
        <f>I12+I13</f>
        <v>7.1422263157894745</v>
      </c>
      <c r="J10" s="30">
        <f t="shared" si="1"/>
        <v>8.0579455391040291</v>
      </c>
      <c r="K10" s="50" t="s">
        <v>76</v>
      </c>
      <c r="L10" s="66">
        <f>L12+L13</f>
        <v>2.2579638157894735</v>
      </c>
      <c r="M10" s="30">
        <f t="shared" si="2"/>
        <v>11.391128137937006</v>
      </c>
      <c r="N10" s="50" t="s">
        <v>76</v>
      </c>
      <c r="O10" s="68">
        <f>O12+O13</f>
        <v>4.8842624999999993</v>
      </c>
      <c r="P10" s="30">
        <f t="shared" si="3"/>
        <v>5.5104836340288523</v>
      </c>
      <c r="Q10" s="2"/>
      <c r="R10" s="25"/>
      <c r="S10" s="2"/>
      <c r="T10" s="2"/>
      <c r="U10" s="2"/>
      <c r="V10" s="2"/>
      <c r="W10" s="2"/>
      <c r="X10" s="2"/>
      <c r="Y10" s="2"/>
      <c r="Z10" s="2"/>
      <c r="AA10" s="2"/>
      <c r="AB10" s="2"/>
      <c r="AC10" s="2"/>
      <c r="AD10" s="2"/>
      <c r="AE10" s="2"/>
      <c r="AF10" s="2"/>
      <c r="AG10" s="2"/>
      <c r="AH10" s="2"/>
      <c r="AI10" s="2"/>
      <c r="AJ10" s="2"/>
      <c r="AK10" s="2"/>
      <c r="AL10" s="2"/>
      <c r="AM10" s="2"/>
      <c r="AN10" s="2"/>
      <c r="AO10" s="2"/>
      <c r="AP10" s="538" t="s">
        <v>4</v>
      </c>
      <c r="AQ10" s="45" t="s">
        <v>117</v>
      </c>
      <c r="AR10" s="46">
        <v>40</v>
      </c>
      <c r="AS10" s="46">
        <v>37</v>
      </c>
      <c r="AT10" s="54"/>
      <c r="AU10" s="54"/>
    </row>
    <row r="11" spans="1:47" ht="14.25" customHeight="1" x14ac:dyDescent="0.3">
      <c r="A11" s="2"/>
      <c r="B11" s="2"/>
      <c r="C11" s="2"/>
      <c r="D11" s="2"/>
      <c r="E11" s="40" t="s">
        <v>151</v>
      </c>
      <c r="F11" s="66"/>
      <c r="G11" s="30">
        <f t="shared" si="0"/>
        <v>0</v>
      </c>
      <c r="H11" s="40" t="s">
        <v>77</v>
      </c>
      <c r="I11" s="68"/>
      <c r="J11" s="30">
        <f t="shared" si="1"/>
        <v>0</v>
      </c>
      <c r="K11" s="40" t="s">
        <v>151</v>
      </c>
      <c r="L11" s="66"/>
      <c r="M11" s="30">
        <f t="shared" si="2"/>
        <v>0</v>
      </c>
      <c r="N11" s="40" t="s">
        <v>77</v>
      </c>
      <c r="O11" s="68"/>
      <c r="P11" s="30">
        <f t="shared" si="3"/>
        <v>0</v>
      </c>
      <c r="Q11" s="2"/>
      <c r="R11" s="2"/>
      <c r="S11" s="2"/>
      <c r="T11" s="2"/>
      <c r="U11" s="2"/>
      <c r="V11" s="2"/>
      <c r="W11" s="2"/>
      <c r="X11" s="2"/>
      <c r="Y11" s="2"/>
      <c r="Z11" s="2"/>
      <c r="AA11" s="2"/>
      <c r="AB11" s="2"/>
      <c r="AC11" s="2"/>
      <c r="AD11" s="2"/>
      <c r="AE11" s="2"/>
      <c r="AF11" s="2"/>
      <c r="AG11" s="2"/>
      <c r="AH11" s="2"/>
      <c r="AI11" s="2"/>
      <c r="AJ11" s="2"/>
      <c r="AK11" s="2"/>
      <c r="AL11" s="2"/>
      <c r="AM11" s="2"/>
      <c r="AN11" s="2"/>
      <c r="AO11" s="2"/>
      <c r="AP11" s="536"/>
      <c r="AQ11" s="45"/>
      <c r="AR11" s="46"/>
      <c r="AS11" s="46"/>
      <c r="AT11" s="54"/>
      <c r="AU11" s="54"/>
    </row>
    <row r="12" spans="1:47" ht="18.8" customHeight="1" x14ac:dyDescent="0.3">
      <c r="A12" s="13" t="s">
        <v>7</v>
      </c>
      <c r="B12" s="8" t="s">
        <v>8</v>
      </c>
      <c r="C12" s="12">
        <f>C23+C33+C43+0.156+0.095+0.72+1.6+0.11</f>
        <v>4.1925789473684221</v>
      </c>
      <c r="D12" s="10">
        <f t="shared" ref="D12:D14" si="4">C12*$C$4</f>
        <v>4.1925789473684221</v>
      </c>
      <c r="E12" s="81">
        <v>95</v>
      </c>
      <c r="F12" s="66">
        <f t="shared" ref="F12:F13" si="5">(D12)*E12%</f>
        <v>3.9829500000000007</v>
      </c>
      <c r="G12" s="30">
        <f t="shared" si="0"/>
        <v>32.692210574918299</v>
      </c>
      <c r="H12" s="82">
        <f t="shared" ref="H12:H13" si="6">100-E12</f>
        <v>5</v>
      </c>
      <c r="I12" s="68">
        <f t="shared" ref="I12:I13" si="7">(D12)*H12%</f>
        <v>0.20962894736842111</v>
      </c>
      <c r="J12" s="30">
        <f t="shared" si="1"/>
        <v>0.23650589698902963</v>
      </c>
      <c r="K12" s="81">
        <v>85</v>
      </c>
      <c r="L12" s="66">
        <f t="shared" ref="L12:L13" si="8">(I12)*K12%</f>
        <v>0.17818460526315794</v>
      </c>
      <c r="M12" s="30">
        <f t="shared" si="2"/>
        <v>0.89891771363514295</v>
      </c>
      <c r="N12" s="82">
        <f t="shared" ref="N12:N13" si="9">100-K12</f>
        <v>15</v>
      </c>
      <c r="O12" s="68">
        <f t="shared" ref="O12:O13" si="10">(I12)*N12%</f>
        <v>3.1444342105263166E-2</v>
      </c>
      <c r="P12" s="30">
        <f t="shared" si="3"/>
        <v>3.5475884548354444E-2</v>
      </c>
      <c r="Q12" s="2"/>
      <c r="R12" s="2"/>
      <c r="S12" s="36"/>
      <c r="T12" s="2"/>
      <c r="U12" s="2"/>
      <c r="V12" s="2"/>
      <c r="W12" s="36"/>
      <c r="X12" s="2"/>
      <c r="Y12" s="2"/>
      <c r="Z12" s="2"/>
      <c r="AA12" s="2"/>
      <c r="AB12" s="2"/>
      <c r="AC12" s="2"/>
      <c r="AD12" s="2"/>
      <c r="AE12" s="2"/>
      <c r="AF12" s="2"/>
      <c r="AG12" s="2"/>
      <c r="AH12" s="2"/>
      <c r="AI12" s="2"/>
      <c r="AJ12" s="2"/>
      <c r="AK12" s="2"/>
      <c r="AL12" s="2"/>
      <c r="AM12" s="2"/>
      <c r="AN12" s="2"/>
      <c r="AO12" s="2"/>
      <c r="AP12" s="537"/>
      <c r="AQ12" s="45" t="s">
        <v>118</v>
      </c>
      <c r="AR12" s="46">
        <v>75</v>
      </c>
      <c r="AS12" s="46">
        <v>73</v>
      </c>
      <c r="AT12" s="46">
        <v>80</v>
      </c>
      <c r="AU12" s="46">
        <v>60</v>
      </c>
    </row>
    <row r="13" spans="1:47" ht="15.05" customHeight="1" x14ac:dyDescent="0.3">
      <c r="A13" s="13" t="s">
        <v>9</v>
      </c>
      <c r="B13" s="22" t="s">
        <v>10</v>
      </c>
      <c r="C13" s="14">
        <f>C8-C12-C14</f>
        <v>19.807421052631582</v>
      </c>
      <c r="D13" s="10">
        <f t="shared" si="4"/>
        <v>19.807421052631582</v>
      </c>
      <c r="E13" s="81">
        <v>65</v>
      </c>
      <c r="F13" s="66">
        <f t="shared" si="5"/>
        <v>12.874823684210529</v>
      </c>
      <c r="G13" s="30">
        <f t="shared" si="0"/>
        <v>105.67706021897237</v>
      </c>
      <c r="H13" s="82">
        <f t="shared" si="6"/>
        <v>35</v>
      </c>
      <c r="I13" s="68">
        <f t="shared" si="7"/>
        <v>6.9325973684210531</v>
      </c>
      <c r="J13" s="30">
        <f t="shared" si="1"/>
        <v>7.8214396421149992</v>
      </c>
      <c r="K13" s="81">
        <v>30</v>
      </c>
      <c r="L13" s="66">
        <f t="shared" si="8"/>
        <v>2.0797792105263158</v>
      </c>
      <c r="M13" s="30">
        <f t="shared" si="2"/>
        <v>10.492210424301863</v>
      </c>
      <c r="N13" s="82">
        <f t="shared" si="9"/>
        <v>70</v>
      </c>
      <c r="O13" s="68">
        <f t="shared" si="10"/>
        <v>4.8528181578947365</v>
      </c>
      <c r="P13" s="30">
        <f t="shared" si="3"/>
        <v>5.4750077494804987</v>
      </c>
      <c r="Q13" s="35"/>
      <c r="R13" s="29"/>
      <c r="S13" s="2"/>
      <c r="T13" s="2"/>
      <c r="U13" s="2"/>
      <c r="V13" s="2"/>
      <c r="W13" s="2"/>
      <c r="X13" s="2"/>
      <c r="Y13" s="2"/>
      <c r="Z13" s="2"/>
      <c r="AA13" s="2"/>
      <c r="AB13" s="2"/>
      <c r="AC13" s="2"/>
      <c r="AD13" s="2"/>
      <c r="AE13" s="2"/>
      <c r="AF13" s="2"/>
      <c r="AG13" s="2"/>
      <c r="AH13" s="2"/>
      <c r="AI13" s="2"/>
      <c r="AJ13" s="2"/>
      <c r="AK13" s="2"/>
      <c r="AL13" s="2"/>
      <c r="AM13" s="2"/>
      <c r="AN13" s="2"/>
      <c r="AO13" s="2"/>
      <c r="AP13" s="539" t="s">
        <v>119</v>
      </c>
      <c r="AQ13" s="45" t="s">
        <v>117</v>
      </c>
      <c r="AR13" s="46">
        <v>52</v>
      </c>
      <c r="AS13" s="46">
        <v>25</v>
      </c>
      <c r="AT13" s="47"/>
      <c r="AU13" s="47"/>
    </row>
    <row r="14" spans="1:47" ht="21" customHeight="1" x14ac:dyDescent="0.3">
      <c r="A14" s="13" t="s">
        <v>11</v>
      </c>
      <c r="B14" s="11" t="s">
        <v>78</v>
      </c>
      <c r="C14" s="15">
        <v>52</v>
      </c>
      <c r="D14" s="10">
        <f t="shared" si="4"/>
        <v>52</v>
      </c>
      <c r="E14" s="50" t="s">
        <v>79</v>
      </c>
      <c r="F14" s="66">
        <f>F16+F17</f>
        <v>21.814</v>
      </c>
      <c r="G14" s="30">
        <f t="shared" si="0"/>
        <v>179.05017172730456</v>
      </c>
      <c r="H14" s="50" t="s">
        <v>79</v>
      </c>
      <c r="I14" s="68">
        <f>I16+I17</f>
        <v>30.186</v>
      </c>
      <c r="J14" s="30">
        <f t="shared" si="1"/>
        <v>34.056207866959433</v>
      </c>
      <c r="K14" s="50" t="s">
        <v>79</v>
      </c>
      <c r="L14" s="66">
        <f>L16+L17</f>
        <v>17.667000000000002</v>
      </c>
      <c r="M14" s="30">
        <f t="shared" si="2"/>
        <v>89.127673085659765</v>
      </c>
      <c r="N14" s="50" t="s">
        <v>79</v>
      </c>
      <c r="O14" s="68">
        <f>O16+O17</f>
        <v>12.519</v>
      </c>
      <c r="P14" s="30">
        <f t="shared" si="3"/>
        <v>14.124086208390153</v>
      </c>
      <c r="Q14" s="35"/>
      <c r="R14" s="32"/>
      <c r="S14" s="2"/>
      <c r="T14" s="2"/>
      <c r="U14" s="2"/>
      <c r="V14" s="2"/>
      <c r="W14" s="2"/>
      <c r="X14" s="2"/>
      <c r="Y14" s="2"/>
      <c r="Z14" s="2"/>
      <c r="AA14" s="2"/>
      <c r="AB14" s="2"/>
      <c r="AC14" s="2"/>
      <c r="AD14" s="2"/>
      <c r="AE14" s="2"/>
      <c r="AF14" s="2"/>
      <c r="AG14" s="2"/>
      <c r="AH14" s="2"/>
      <c r="AI14" s="2"/>
      <c r="AJ14" s="2"/>
      <c r="AK14" s="2"/>
      <c r="AL14" s="2"/>
      <c r="AM14" s="2"/>
      <c r="AN14" s="2"/>
      <c r="AO14" s="2"/>
      <c r="AP14" s="537"/>
      <c r="AQ14" s="45" t="s">
        <v>118</v>
      </c>
      <c r="AR14" s="46">
        <v>79</v>
      </c>
      <c r="AS14" s="46">
        <v>59</v>
      </c>
      <c r="AT14" s="51">
        <v>70</v>
      </c>
      <c r="AU14" s="55">
        <v>82</v>
      </c>
    </row>
    <row r="15" spans="1:47" ht="21" customHeight="1" x14ac:dyDescent="0.3">
      <c r="A15" s="2"/>
      <c r="B15" s="2"/>
      <c r="C15" s="2"/>
      <c r="D15" s="2"/>
      <c r="E15" s="40" t="s">
        <v>152</v>
      </c>
      <c r="F15" s="30"/>
      <c r="G15" s="30">
        <f t="shared" si="0"/>
        <v>0</v>
      </c>
      <c r="H15" s="40" t="s">
        <v>153</v>
      </c>
      <c r="I15" s="68"/>
      <c r="J15" s="30">
        <f t="shared" si="1"/>
        <v>0</v>
      </c>
      <c r="K15" s="40" t="s">
        <v>152</v>
      </c>
      <c r="L15" s="30"/>
      <c r="M15" s="30">
        <f t="shared" si="2"/>
        <v>0</v>
      </c>
      <c r="N15" s="40" t="s">
        <v>153</v>
      </c>
      <c r="O15" s="68"/>
      <c r="P15" s="30">
        <f t="shared" si="3"/>
        <v>0</v>
      </c>
      <c r="Q15" s="35"/>
      <c r="R15" s="32"/>
      <c r="S15" s="2"/>
      <c r="T15" s="2"/>
      <c r="U15" s="2"/>
      <c r="V15" s="2"/>
      <c r="W15" s="2"/>
      <c r="X15" s="2"/>
      <c r="Y15" s="2"/>
      <c r="Z15" s="2"/>
      <c r="AA15" s="2"/>
      <c r="AB15" s="2"/>
      <c r="AC15" s="2"/>
      <c r="AD15" s="2"/>
      <c r="AE15" s="2"/>
      <c r="AF15" s="2"/>
      <c r="AG15" s="2"/>
      <c r="AH15" s="2"/>
      <c r="AI15" s="2"/>
      <c r="AJ15" s="2"/>
      <c r="AK15" s="2"/>
      <c r="AL15" s="2"/>
      <c r="AM15" s="2"/>
      <c r="AN15" s="2"/>
      <c r="AO15" s="2"/>
      <c r="AP15" s="56"/>
      <c r="AQ15" s="45"/>
      <c r="AR15" s="46"/>
      <c r="AS15" s="46"/>
      <c r="AT15" s="51"/>
      <c r="AU15" s="55"/>
    </row>
    <row r="16" spans="1:47" ht="15.85" customHeight="1" x14ac:dyDescent="0.3">
      <c r="A16" s="13" t="s">
        <v>12</v>
      </c>
      <c r="B16" s="8" t="s">
        <v>13</v>
      </c>
      <c r="C16" s="14">
        <f>0.71*C14</f>
        <v>36.92</v>
      </c>
      <c r="D16" s="10">
        <f t="shared" ref="D16:D18" si="11">C16*$C$4</f>
        <v>36.92</v>
      </c>
      <c r="E16" s="81">
        <v>55</v>
      </c>
      <c r="F16" s="66">
        <f t="shared" ref="F16:F17" si="12">(D16)*E16%</f>
        <v>20.306000000000001</v>
      </c>
      <c r="G16" s="30">
        <f t="shared" si="0"/>
        <v>166.67244829442774</v>
      </c>
      <c r="H16" s="82">
        <f t="shared" ref="H16:H17" si="13">100-E16</f>
        <v>45</v>
      </c>
      <c r="I16" s="68">
        <f t="shared" ref="I16:I17" si="14">(D16)*H16%</f>
        <v>16.614000000000001</v>
      </c>
      <c r="J16" s="30">
        <f t="shared" si="1"/>
        <v>18.744114407396278</v>
      </c>
      <c r="K16" s="81">
        <v>90</v>
      </c>
      <c r="L16" s="66">
        <f t="shared" ref="L16:L17" si="15">(I16)*K16%</f>
        <v>14.9526</v>
      </c>
      <c r="M16" s="30">
        <f t="shared" si="2"/>
        <v>75.433884902962376</v>
      </c>
      <c r="N16" s="82">
        <f t="shared" ref="N16:N17" si="16">100-K16</f>
        <v>10</v>
      </c>
      <c r="O16" s="68">
        <f t="shared" ref="O16:O17" si="17">(I16)*N16%</f>
        <v>1.6614000000000002</v>
      </c>
      <c r="P16" s="30">
        <f t="shared" si="3"/>
        <v>1.8744114407396282</v>
      </c>
      <c r="Q16" s="48"/>
      <c r="R16" s="79"/>
      <c r="S16" s="2"/>
      <c r="T16" s="2"/>
      <c r="U16" s="2"/>
      <c r="V16" s="2"/>
      <c r="W16" s="2"/>
      <c r="X16" s="2"/>
      <c r="Y16" s="2"/>
      <c r="Z16" s="2"/>
      <c r="AA16" s="2"/>
      <c r="AB16" s="2"/>
      <c r="AC16" s="2"/>
      <c r="AD16" s="2"/>
      <c r="AE16" s="2"/>
      <c r="AF16" s="2"/>
      <c r="AG16" s="2"/>
      <c r="AH16" s="2"/>
      <c r="AI16" s="2"/>
      <c r="AJ16" s="2"/>
      <c r="AK16" s="2"/>
      <c r="AL16" s="2"/>
      <c r="AM16" s="2"/>
      <c r="AN16" s="2"/>
      <c r="AO16" s="2"/>
      <c r="AP16" s="538" t="s">
        <v>120</v>
      </c>
      <c r="AQ16" s="45" t="s">
        <v>117</v>
      </c>
      <c r="AR16" s="46">
        <v>60</v>
      </c>
      <c r="AS16" s="46">
        <v>24</v>
      </c>
      <c r="AT16" s="47"/>
      <c r="AU16" s="47"/>
    </row>
    <row r="17" spans="1:47" ht="14.25" customHeight="1" x14ac:dyDescent="0.3">
      <c r="A17" s="16" t="s">
        <v>15</v>
      </c>
      <c r="B17" s="17" t="s">
        <v>16</v>
      </c>
      <c r="C17" s="18">
        <f>0.29*C14</f>
        <v>15.079999999999998</v>
      </c>
      <c r="D17" s="57">
        <f t="shared" si="11"/>
        <v>15.079999999999998</v>
      </c>
      <c r="E17" s="81">
        <v>10</v>
      </c>
      <c r="F17" s="66">
        <f t="shared" si="12"/>
        <v>1.508</v>
      </c>
      <c r="G17" s="30">
        <f t="shared" si="0"/>
        <v>12.377723432876836</v>
      </c>
      <c r="H17" s="82">
        <f t="shared" si="13"/>
        <v>90</v>
      </c>
      <c r="I17" s="68">
        <f t="shared" si="14"/>
        <v>13.571999999999999</v>
      </c>
      <c r="J17" s="30">
        <f t="shared" si="1"/>
        <v>15.312093459563156</v>
      </c>
      <c r="K17" s="81">
        <v>20</v>
      </c>
      <c r="L17" s="66">
        <f t="shared" si="15"/>
        <v>2.7143999999999999</v>
      </c>
      <c r="M17" s="30">
        <f t="shared" si="2"/>
        <v>13.693788182697393</v>
      </c>
      <c r="N17" s="82">
        <f t="shared" si="16"/>
        <v>80</v>
      </c>
      <c r="O17" s="68">
        <f t="shared" si="17"/>
        <v>10.8576</v>
      </c>
      <c r="P17" s="30">
        <f t="shared" si="3"/>
        <v>12.249674767650525</v>
      </c>
      <c r="Q17" s="2"/>
      <c r="R17" s="25"/>
      <c r="S17" s="2"/>
      <c r="T17" s="2"/>
      <c r="U17" s="2"/>
      <c r="V17" s="2"/>
      <c r="W17" s="2"/>
      <c r="X17" s="2"/>
      <c r="Y17" s="2"/>
      <c r="Z17" s="2"/>
      <c r="AA17" s="2"/>
      <c r="AB17" s="2"/>
      <c r="AC17" s="2"/>
      <c r="AD17" s="2"/>
      <c r="AE17" s="2"/>
      <c r="AF17" s="2"/>
      <c r="AG17" s="2"/>
      <c r="AH17" s="2"/>
      <c r="AI17" s="2"/>
      <c r="AJ17" s="2"/>
      <c r="AK17" s="2"/>
      <c r="AL17" s="2"/>
      <c r="AM17" s="2"/>
      <c r="AN17" s="2"/>
      <c r="AO17" s="2"/>
      <c r="AP17" s="537"/>
      <c r="AQ17" s="45" t="s">
        <v>118</v>
      </c>
      <c r="AR17" s="46">
        <v>90</v>
      </c>
      <c r="AS17" s="46">
        <v>60</v>
      </c>
      <c r="AT17" s="45">
        <v>75</v>
      </c>
      <c r="AU17" s="45">
        <v>56</v>
      </c>
    </row>
    <row r="18" spans="1:47" ht="14.25" customHeight="1" x14ac:dyDescent="0.3">
      <c r="A18" s="19" t="s">
        <v>17</v>
      </c>
      <c r="B18" s="6"/>
      <c r="C18" s="9">
        <v>6.9</v>
      </c>
      <c r="D18" s="49">
        <f t="shared" si="11"/>
        <v>6.9</v>
      </c>
      <c r="E18" s="50" t="s">
        <v>121</v>
      </c>
      <c r="F18" s="66">
        <f>F20+F24</f>
        <v>1.3321357894736843</v>
      </c>
      <c r="G18" s="30">
        <f t="shared" si="0"/>
        <v>10.934223061765454</v>
      </c>
      <c r="H18" s="50" t="s">
        <v>121</v>
      </c>
      <c r="I18" s="66">
        <f>I20+I24</f>
        <v>32.477864210526313</v>
      </c>
      <c r="J18" s="30">
        <f t="shared" si="1"/>
        <v>36.64191660466993</v>
      </c>
      <c r="K18" s="50" t="s">
        <v>121</v>
      </c>
      <c r="L18" s="66">
        <f>L20+L24</f>
        <v>20.942132452631583</v>
      </c>
      <c r="M18" s="30">
        <f t="shared" si="2"/>
        <v>105.65028216192528</v>
      </c>
      <c r="N18" s="50" t="s">
        <v>121</v>
      </c>
      <c r="O18" s="66">
        <f>O20+O24</f>
        <v>11.535731757894739</v>
      </c>
      <c r="P18" s="30">
        <f t="shared" si="3"/>
        <v>13.014751164259875</v>
      </c>
      <c r="Q18" s="2"/>
      <c r="R18" s="2"/>
      <c r="S18" s="2"/>
      <c r="T18" s="2"/>
      <c r="U18" s="2"/>
      <c r="V18" s="2"/>
      <c r="W18" s="2"/>
      <c r="X18" s="2"/>
      <c r="Y18" s="2"/>
      <c r="Z18" s="2"/>
      <c r="AA18" s="2"/>
      <c r="AB18" s="2"/>
      <c r="AC18" s="2"/>
      <c r="AD18" s="2"/>
      <c r="AE18" s="2"/>
      <c r="AF18" s="2"/>
      <c r="AG18" s="2"/>
      <c r="AH18" s="2"/>
      <c r="AI18" s="2"/>
      <c r="AJ18" s="2"/>
      <c r="AK18" s="2"/>
      <c r="AL18" s="2"/>
      <c r="AM18" s="2"/>
      <c r="AN18" s="2"/>
      <c r="AO18" s="2"/>
      <c r="AP18" s="538" t="s">
        <v>122</v>
      </c>
      <c r="AQ18" s="45" t="s">
        <v>117</v>
      </c>
      <c r="AR18" s="46">
        <v>27</v>
      </c>
      <c r="AS18" s="46">
        <v>19</v>
      </c>
      <c r="AT18" s="47"/>
      <c r="AU18" s="47"/>
    </row>
    <row r="19" spans="1:47" ht="14.25" customHeight="1" x14ac:dyDescent="0.3">
      <c r="A19" s="2"/>
      <c r="B19" s="2"/>
      <c r="C19" s="2"/>
      <c r="D19" s="2"/>
      <c r="E19" s="40" t="s">
        <v>142</v>
      </c>
      <c r="F19" s="66"/>
      <c r="G19" s="30">
        <f t="shared" si="0"/>
        <v>0</v>
      </c>
      <c r="H19" s="40" t="s">
        <v>80</v>
      </c>
      <c r="I19" s="68"/>
      <c r="J19" s="30">
        <f t="shared" si="1"/>
        <v>0</v>
      </c>
      <c r="K19" s="40" t="s">
        <v>142</v>
      </c>
      <c r="L19" s="66"/>
      <c r="M19" s="30">
        <f t="shared" si="2"/>
        <v>0</v>
      </c>
      <c r="N19" s="40" t="s">
        <v>80</v>
      </c>
      <c r="O19" s="68"/>
      <c r="P19" s="30">
        <f t="shared" si="3"/>
        <v>0</v>
      </c>
      <c r="Q19" s="2"/>
      <c r="R19" s="2"/>
      <c r="S19" s="2"/>
      <c r="T19" s="2"/>
      <c r="U19" s="2"/>
      <c r="V19" s="2"/>
      <c r="W19" s="2"/>
      <c r="X19" s="2"/>
      <c r="Y19" s="2"/>
      <c r="Z19" s="2"/>
      <c r="AA19" s="2"/>
      <c r="AB19" s="2"/>
      <c r="AC19" s="2"/>
      <c r="AD19" s="2"/>
      <c r="AE19" s="2"/>
      <c r="AF19" s="2"/>
      <c r="AG19" s="2"/>
      <c r="AH19" s="2"/>
      <c r="AI19" s="2"/>
      <c r="AJ19" s="2"/>
      <c r="AK19" s="2"/>
      <c r="AL19" s="2"/>
      <c r="AM19" s="2"/>
      <c r="AN19" s="2"/>
      <c r="AO19" s="2"/>
      <c r="AP19" s="536"/>
      <c r="AQ19" s="45"/>
      <c r="AR19" s="46"/>
      <c r="AS19" s="46"/>
      <c r="AT19" s="47"/>
      <c r="AU19" s="47"/>
    </row>
    <row r="20" spans="1:47" ht="14.25" customHeight="1" x14ac:dyDescent="0.3">
      <c r="A20" s="13" t="s">
        <v>18</v>
      </c>
      <c r="B20" s="8" t="s">
        <v>123</v>
      </c>
      <c r="C20" s="20">
        <f>C22/0.95</f>
        <v>4.8421052631578947</v>
      </c>
      <c r="D20" s="10">
        <f>C20*$C$4</f>
        <v>4.8421052631578947</v>
      </c>
      <c r="E20" s="50" t="s">
        <v>81</v>
      </c>
      <c r="F20" s="66">
        <f>F22+F23</f>
        <v>0.87157894736842101</v>
      </c>
      <c r="G20" s="30">
        <f t="shared" si="0"/>
        <v>7.1539543504272087</v>
      </c>
      <c r="H20" s="50" t="s">
        <v>81</v>
      </c>
      <c r="I20" s="66">
        <f>I22+I23</f>
        <v>3.9705263157894732</v>
      </c>
      <c r="J20" s="30">
        <f t="shared" si="1"/>
        <v>4.4795954930020185</v>
      </c>
      <c r="K20" s="50" t="s">
        <v>81</v>
      </c>
      <c r="L20" s="66">
        <f>L22+L23</f>
        <v>0.96866315789473678</v>
      </c>
      <c r="M20" s="30">
        <f t="shared" si="2"/>
        <v>4.8867772268616587</v>
      </c>
      <c r="N20" s="50" t="s">
        <v>81</v>
      </c>
      <c r="O20" s="66">
        <f>O22+O23</f>
        <v>3.001863157894737</v>
      </c>
      <c r="P20" s="30">
        <f t="shared" si="3"/>
        <v>3.3867380803495144</v>
      </c>
      <c r="Q20" s="2"/>
      <c r="R20" s="2"/>
      <c r="S20" s="2"/>
      <c r="T20" s="2"/>
      <c r="U20" s="2"/>
      <c r="V20" s="2"/>
      <c r="W20" s="2"/>
      <c r="X20" s="2"/>
      <c r="Y20" s="2"/>
      <c r="Z20" s="2"/>
      <c r="AA20" s="2"/>
      <c r="AB20" s="2"/>
      <c r="AC20" s="2"/>
      <c r="AD20" s="2"/>
      <c r="AE20" s="2"/>
      <c r="AF20" s="2"/>
      <c r="AG20" s="2"/>
      <c r="AH20" s="2"/>
      <c r="AI20" s="2"/>
      <c r="AJ20" s="2"/>
      <c r="AK20" s="2"/>
      <c r="AL20" s="2"/>
      <c r="AM20" s="2"/>
      <c r="AN20" s="2"/>
      <c r="AO20" s="2"/>
      <c r="AP20" s="537"/>
      <c r="AQ20" s="45" t="s">
        <v>118</v>
      </c>
      <c r="AR20" s="46">
        <v>35</v>
      </c>
      <c r="AS20" s="46">
        <v>24</v>
      </c>
      <c r="AT20" s="45">
        <v>45</v>
      </c>
      <c r="AU20" s="45">
        <v>26</v>
      </c>
    </row>
    <row r="21" spans="1:47" ht="14.25" customHeight="1" x14ac:dyDescent="0.3">
      <c r="A21" s="10"/>
      <c r="B21" s="10"/>
      <c r="C21" s="10"/>
      <c r="D21" s="10"/>
      <c r="E21" s="40" t="s">
        <v>154</v>
      </c>
      <c r="F21" s="66"/>
      <c r="G21" s="30">
        <f t="shared" si="0"/>
        <v>0</v>
      </c>
      <c r="H21" s="58" t="s">
        <v>82</v>
      </c>
      <c r="I21" s="66"/>
      <c r="J21" s="30">
        <f t="shared" si="1"/>
        <v>0</v>
      </c>
      <c r="K21" s="40" t="s">
        <v>154</v>
      </c>
      <c r="L21" s="66"/>
      <c r="M21" s="30">
        <f t="shared" si="2"/>
        <v>0</v>
      </c>
      <c r="N21" s="58" t="s">
        <v>82</v>
      </c>
      <c r="O21" s="66"/>
      <c r="P21" s="30">
        <f t="shared" si="3"/>
        <v>0</v>
      </c>
      <c r="Q21" s="2"/>
      <c r="R21" s="2"/>
      <c r="S21" s="36"/>
      <c r="T21" s="2"/>
      <c r="U21" s="2"/>
      <c r="V21" s="2"/>
      <c r="W21" s="36"/>
      <c r="X21" s="2"/>
      <c r="Y21" s="2"/>
      <c r="Z21" s="2"/>
      <c r="AA21" s="2"/>
      <c r="AB21" s="2"/>
      <c r="AC21" s="2"/>
      <c r="AD21" s="2"/>
      <c r="AE21" s="2"/>
      <c r="AF21" s="2"/>
      <c r="AG21" s="2"/>
      <c r="AH21" s="2"/>
      <c r="AI21" s="2"/>
      <c r="AJ21" s="2"/>
      <c r="AK21" s="2"/>
      <c r="AL21" s="2"/>
      <c r="AM21" s="2"/>
      <c r="AN21" s="2"/>
      <c r="AO21" s="2"/>
      <c r="AP21" s="53"/>
      <c r="AQ21" s="45"/>
      <c r="AR21" s="46"/>
      <c r="AS21" s="46"/>
      <c r="AT21" s="45"/>
      <c r="AU21" s="45"/>
    </row>
    <row r="22" spans="1:47" ht="14.25" customHeight="1" x14ac:dyDescent="0.3">
      <c r="A22" s="13" t="s">
        <v>19</v>
      </c>
      <c r="B22" s="2"/>
      <c r="C22" s="21">
        <v>4.5999999999999996</v>
      </c>
      <c r="D22" s="10">
        <f t="shared" ref="D22:D24" si="18">C22*$C$4</f>
        <v>4.5999999999999996</v>
      </c>
      <c r="E22" s="46">
        <v>15</v>
      </c>
      <c r="F22" s="66">
        <f t="shared" ref="F22:F23" si="19">(D22)*E22%</f>
        <v>0.69</v>
      </c>
      <c r="G22" s="30">
        <f t="shared" si="0"/>
        <v>5.6635471940882063</v>
      </c>
      <c r="H22" s="82">
        <f t="shared" ref="H22:H23" si="20">100-E22</f>
        <v>85</v>
      </c>
      <c r="I22" s="68">
        <f t="shared" ref="I22:I23" si="21">(D22)*H22%</f>
        <v>3.9099999999999997</v>
      </c>
      <c r="J22" s="30">
        <f t="shared" si="1"/>
        <v>4.4113089763404023</v>
      </c>
      <c r="K22" s="46">
        <v>24</v>
      </c>
      <c r="L22" s="66">
        <f t="shared" ref="L22:L23" si="22">(I22)*K22%</f>
        <v>0.9383999999999999</v>
      </c>
      <c r="M22" s="30">
        <f t="shared" si="2"/>
        <v>4.7341036069272153</v>
      </c>
      <c r="N22" s="82">
        <f t="shared" ref="N22:N23" si="23">100-K22</f>
        <v>76</v>
      </c>
      <c r="O22" s="68">
        <f t="shared" ref="O22:O23" si="24">(I22)*N22%</f>
        <v>2.9716</v>
      </c>
      <c r="P22" s="30">
        <f t="shared" si="3"/>
        <v>3.3525948220187058</v>
      </c>
      <c r="Q22" s="35"/>
      <c r="R22" s="29"/>
      <c r="S22" s="2"/>
      <c r="T22" s="2"/>
      <c r="U22" s="2"/>
      <c r="V22" s="2"/>
      <c r="W22" s="2"/>
      <c r="X22" s="2"/>
      <c r="Y22" s="2"/>
      <c r="Z22" s="2"/>
      <c r="AA22" s="2"/>
      <c r="AB22" s="2"/>
      <c r="AC22" s="2"/>
      <c r="AD22" s="2"/>
      <c r="AE22" s="2"/>
      <c r="AF22" s="2"/>
      <c r="AG22" s="2"/>
      <c r="AH22" s="2"/>
      <c r="AI22" s="2"/>
      <c r="AJ22" s="2"/>
      <c r="AK22" s="2"/>
      <c r="AL22" s="2"/>
      <c r="AM22" s="2"/>
      <c r="AN22" s="2"/>
      <c r="AO22" s="2"/>
      <c r="AP22" s="538" t="s">
        <v>21</v>
      </c>
      <c r="AQ22" s="45" t="s">
        <v>117</v>
      </c>
      <c r="AR22" s="46">
        <v>19</v>
      </c>
      <c r="AS22" s="46">
        <v>17</v>
      </c>
      <c r="AT22" s="47"/>
      <c r="AU22" s="47"/>
    </row>
    <row r="23" spans="1:47" ht="14.25" customHeight="1" x14ac:dyDescent="0.3">
      <c r="A23" s="13" t="s">
        <v>20</v>
      </c>
      <c r="B23" s="8" t="s">
        <v>124</v>
      </c>
      <c r="C23" s="14">
        <f>C20*0.05</f>
        <v>0.24210526315789474</v>
      </c>
      <c r="D23" s="10">
        <f t="shared" si="18"/>
        <v>0.24210526315789474</v>
      </c>
      <c r="E23" s="81">
        <v>75</v>
      </c>
      <c r="F23" s="66">
        <f t="shared" si="19"/>
        <v>0.18157894736842106</v>
      </c>
      <c r="G23" s="30">
        <f t="shared" si="0"/>
        <v>1.490407156339002</v>
      </c>
      <c r="H23" s="82">
        <f t="shared" si="20"/>
        <v>25</v>
      </c>
      <c r="I23" s="68">
        <f t="shared" si="21"/>
        <v>6.0526315789473685E-2</v>
      </c>
      <c r="J23" s="30">
        <f t="shared" si="1"/>
        <v>6.8286516661616142E-2</v>
      </c>
      <c r="K23" s="81">
        <v>50</v>
      </c>
      <c r="L23" s="66">
        <f t="shared" si="22"/>
        <v>3.0263157894736843E-2</v>
      </c>
      <c r="M23" s="30">
        <f t="shared" si="2"/>
        <v>0.15267361993444323</v>
      </c>
      <c r="N23" s="82">
        <f t="shared" si="23"/>
        <v>50</v>
      </c>
      <c r="O23" s="68">
        <f t="shared" si="24"/>
        <v>3.0263157894736843E-2</v>
      </c>
      <c r="P23" s="30">
        <f t="shared" si="3"/>
        <v>3.4143258330808071E-2</v>
      </c>
      <c r="Q23" s="35"/>
      <c r="R23" s="32"/>
      <c r="S23" s="2"/>
      <c r="T23" s="2"/>
      <c r="U23" s="2"/>
      <c r="V23" s="2"/>
      <c r="W23" s="2"/>
      <c r="X23" s="2"/>
      <c r="Y23" s="2"/>
      <c r="Z23" s="2"/>
      <c r="AA23" s="2"/>
      <c r="AB23" s="2"/>
      <c r="AC23" s="2"/>
      <c r="AD23" s="2"/>
      <c r="AE23" s="2"/>
      <c r="AF23" s="2"/>
      <c r="AG23" s="2"/>
      <c r="AH23" s="2"/>
      <c r="AI23" s="2"/>
      <c r="AJ23" s="2"/>
      <c r="AK23" s="2"/>
      <c r="AL23" s="2"/>
      <c r="AM23" s="2"/>
      <c r="AN23" s="2"/>
      <c r="AO23" s="2"/>
      <c r="AP23" s="537"/>
      <c r="AQ23" s="45" t="s">
        <v>118</v>
      </c>
      <c r="AR23" s="46">
        <v>75</v>
      </c>
      <c r="AS23" s="46">
        <v>50</v>
      </c>
      <c r="AT23" s="59">
        <v>80</v>
      </c>
      <c r="AU23" s="59">
        <v>50</v>
      </c>
    </row>
    <row r="24" spans="1:47" ht="14.25" customHeight="1" x14ac:dyDescent="0.3">
      <c r="A24" s="13" t="s">
        <v>21</v>
      </c>
      <c r="B24" s="22" t="s">
        <v>22</v>
      </c>
      <c r="C24" s="20">
        <f>C18-C20</f>
        <v>2.0578947368421057</v>
      </c>
      <c r="D24" s="10">
        <f t="shared" si="18"/>
        <v>2.0578947368421057</v>
      </c>
      <c r="E24" s="50" t="s">
        <v>83</v>
      </c>
      <c r="F24" s="66">
        <f>F26+F27</f>
        <v>0.46055684210526326</v>
      </c>
      <c r="G24" s="30">
        <f t="shared" si="0"/>
        <v>3.7802687113382452</v>
      </c>
      <c r="H24" s="50" t="s">
        <v>83</v>
      </c>
      <c r="I24" s="66">
        <f>I26+I27</f>
        <v>28.507337894736843</v>
      </c>
      <c r="J24" s="30">
        <f t="shared" si="1"/>
        <v>32.162321111667914</v>
      </c>
      <c r="K24" s="50" t="s">
        <v>83</v>
      </c>
      <c r="L24" s="66">
        <f>L26+L27</f>
        <v>19.973469294736844</v>
      </c>
      <c r="M24" s="30">
        <f t="shared" si="2"/>
        <v>100.76350493506361</v>
      </c>
      <c r="N24" s="50" t="s">
        <v>83</v>
      </c>
      <c r="O24" s="66">
        <f>O26+O27</f>
        <v>8.5338686000000017</v>
      </c>
      <c r="P24" s="30">
        <f t="shared" si="3"/>
        <v>9.6280130839103606</v>
      </c>
      <c r="Q24" s="48"/>
      <c r="R24" s="79"/>
      <c r="S24" s="2"/>
      <c r="T24" s="2"/>
      <c r="U24" s="2"/>
      <c r="V24" s="2"/>
      <c r="W24" s="2"/>
      <c r="X24" s="2"/>
      <c r="Y24" s="2"/>
      <c r="Z24" s="2"/>
      <c r="AA24" s="2"/>
      <c r="AB24" s="2"/>
      <c r="AC24" s="2"/>
      <c r="AD24" s="2"/>
      <c r="AE24" s="2"/>
      <c r="AF24" s="2"/>
      <c r="AG24" s="2"/>
      <c r="AH24" s="2"/>
      <c r="AI24" s="2"/>
      <c r="AJ24" s="2"/>
      <c r="AK24" s="2"/>
      <c r="AL24" s="2"/>
      <c r="AM24" s="2"/>
      <c r="AN24" s="2"/>
      <c r="AO24" s="2"/>
      <c r="AP24" s="538" t="s">
        <v>19</v>
      </c>
      <c r="AQ24" s="45" t="s">
        <v>117</v>
      </c>
      <c r="AR24" s="46">
        <v>15</v>
      </c>
      <c r="AS24" s="46">
        <v>8</v>
      </c>
      <c r="AT24" s="47"/>
      <c r="AU24" s="47"/>
    </row>
    <row r="25" spans="1:47" ht="14.25" customHeight="1" x14ac:dyDescent="0.3">
      <c r="A25" s="10"/>
      <c r="B25" s="10"/>
      <c r="C25" s="10"/>
      <c r="D25" s="2"/>
      <c r="E25" s="40" t="s">
        <v>155</v>
      </c>
      <c r="F25" s="66"/>
      <c r="G25" s="30">
        <f t="shared" si="0"/>
        <v>0</v>
      </c>
      <c r="H25" s="40" t="s">
        <v>84</v>
      </c>
      <c r="I25" s="66"/>
      <c r="J25" s="30">
        <f t="shared" si="1"/>
        <v>0</v>
      </c>
      <c r="K25" s="40" t="s">
        <v>155</v>
      </c>
      <c r="L25" s="66"/>
      <c r="M25" s="30">
        <f t="shared" si="2"/>
        <v>0</v>
      </c>
      <c r="N25" s="40" t="s">
        <v>84</v>
      </c>
      <c r="O25" s="66"/>
      <c r="P25" s="30">
        <f t="shared" si="3"/>
        <v>0</v>
      </c>
      <c r="Q25" s="48"/>
      <c r="R25" s="79"/>
      <c r="S25" s="2"/>
      <c r="T25" s="2"/>
      <c r="U25" s="2"/>
      <c r="V25" s="2"/>
      <c r="W25" s="2"/>
      <c r="X25" s="2"/>
      <c r="Y25" s="2"/>
      <c r="Z25" s="2"/>
      <c r="AA25" s="2"/>
      <c r="AB25" s="2"/>
      <c r="AC25" s="2"/>
      <c r="AD25" s="2"/>
      <c r="AE25" s="2"/>
      <c r="AF25" s="2"/>
      <c r="AG25" s="2"/>
      <c r="AH25" s="2"/>
      <c r="AI25" s="2"/>
      <c r="AJ25" s="2"/>
      <c r="AK25" s="2"/>
      <c r="AL25" s="2"/>
      <c r="AM25" s="2"/>
      <c r="AN25" s="2"/>
      <c r="AO25" s="2"/>
      <c r="AP25" s="536"/>
      <c r="AQ25" s="45"/>
      <c r="AR25" s="46"/>
      <c r="AS25" s="46"/>
      <c r="AT25" s="47"/>
      <c r="AU25" s="47"/>
    </row>
    <row r="26" spans="1:47" ht="14.25" customHeight="1" x14ac:dyDescent="0.3">
      <c r="A26" s="13" t="s">
        <v>23</v>
      </c>
      <c r="B26" s="8" t="s">
        <v>24</v>
      </c>
      <c r="C26" s="14">
        <f>0.34*C24</f>
        <v>0.69968421052631602</v>
      </c>
      <c r="D26" s="10">
        <f t="shared" ref="D26:D28" si="25">C26*$C$4</f>
        <v>0.69968421052631602</v>
      </c>
      <c r="E26" s="81">
        <v>60</v>
      </c>
      <c r="F26" s="66">
        <f t="shared" ref="F26:F27" si="26">(D26)*E26%</f>
        <v>0.41981052631578958</v>
      </c>
      <c r="G26" s="30">
        <f t="shared" si="0"/>
        <v>3.4458213454557733</v>
      </c>
      <c r="H26" s="82">
        <f t="shared" ref="H26:H27" si="27">100-E26</f>
        <v>40</v>
      </c>
      <c r="I26" s="26">
        <f t="shared" ref="I26:I27" si="28">(D26+E26)*H26%</f>
        <v>24.279873684210528</v>
      </c>
      <c r="J26" s="30">
        <f t="shared" si="1"/>
        <v>27.392845198866759</v>
      </c>
      <c r="K26" s="81">
        <v>80</v>
      </c>
      <c r="L26" s="66">
        <f t="shared" ref="L26:L27" si="29">(I26)*K26%</f>
        <v>19.423898947368425</v>
      </c>
      <c r="M26" s="30">
        <f t="shared" si="2"/>
        <v>97.990995382914122</v>
      </c>
      <c r="N26" s="82">
        <f t="shared" ref="N26:N27" si="30">100-K26</f>
        <v>20</v>
      </c>
      <c r="O26" s="68">
        <f t="shared" ref="O26:O27" si="31">(I26)*N26%</f>
        <v>4.8559747368421062</v>
      </c>
      <c r="P26" s="30">
        <f t="shared" si="3"/>
        <v>5.478569039773352</v>
      </c>
      <c r="Q26" s="2"/>
      <c r="R26" s="2"/>
      <c r="S26" s="2"/>
      <c r="T26" s="2"/>
      <c r="U26" s="2"/>
      <c r="V26" s="2"/>
      <c r="W26" s="2"/>
      <c r="X26" s="2"/>
      <c r="Y26" s="2"/>
      <c r="Z26" s="2"/>
      <c r="AA26" s="2"/>
      <c r="AB26" s="2"/>
      <c r="AC26" s="2"/>
      <c r="AD26" s="2"/>
      <c r="AE26" s="2"/>
      <c r="AF26" s="2"/>
      <c r="AG26" s="2"/>
      <c r="AH26" s="2"/>
      <c r="AI26" s="2"/>
      <c r="AJ26" s="2"/>
      <c r="AK26" s="2"/>
      <c r="AL26" s="2"/>
      <c r="AM26" s="2"/>
      <c r="AN26" s="2"/>
      <c r="AO26" s="2"/>
      <c r="AP26" s="537"/>
      <c r="AQ26" s="45" t="s">
        <v>118</v>
      </c>
      <c r="AR26" s="46">
        <v>29</v>
      </c>
      <c r="AS26" s="46">
        <v>19</v>
      </c>
      <c r="AT26" s="59">
        <v>20</v>
      </c>
      <c r="AU26" s="60">
        <v>25</v>
      </c>
    </row>
    <row r="27" spans="1:47" ht="13.5" customHeight="1" x14ac:dyDescent="0.3">
      <c r="A27" s="16" t="s">
        <v>25</v>
      </c>
      <c r="B27" s="17" t="s">
        <v>26</v>
      </c>
      <c r="C27" s="18">
        <f>0.66*C24</f>
        <v>1.3582105263157898</v>
      </c>
      <c r="D27" s="10">
        <f t="shared" si="25"/>
        <v>1.3582105263157898</v>
      </c>
      <c r="E27" s="81">
        <v>3</v>
      </c>
      <c r="F27" s="66">
        <f t="shared" si="26"/>
        <v>4.0746315789473693E-2</v>
      </c>
      <c r="G27" s="30">
        <f t="shared" si="0"/>
        <v>0.33444736588247209</v>
      </c>
      <c r="H27" s="82">
        <f t="shared" si="27"/>
        <v>97</v>
      </c>
      <c r="I27" s="69">
        <f t="shared" si="28"/>
        <v>4.2274642105263158</v>
      </c>
      <c r="J27" s="30">
        <f t="shared" si="1"/>
        <v>4.769475912801159</v>
      </c>
      <c r="K27" s="81">
        <v>13</v>
      </c>
      <c r="L27" s="66">
        <f t="shared" si="29"/>
        <v>0.54957034736842103</v>
      </c>
      <c r="M27" s="30">
        <f t="shared" si="2"/>
        <v>2.7725095521494936</v>
      </c>
      <c r="N27" s="82">
        <f t="shared" si="30"/>
        <v>87</v>
      </c>
      <c r="O27" s="68">
        <f t="shared" si="31"/>
        <v>3.6778938631578946</v>
      </c>
      <c r="P27" s="30">
        <f t="shared" si="3"/>
        <v>4.1494440441370077</v>
      </c>
      <c r="Q27" s="35"/>
      <c r="R27" s="25"/>
      <c r="S27" s="2"/>
      <c r="T27" s="2"/>
      <c r="U27" s="2"/>
      <c r="V27" s="2"/>
      <c r="W27" s="2"/>
      <c r="X27" s="2"/>
      <c r="Y27" s="1"/>
      <c r="Z27" s="1"/>
      <c r="AA27" s="2"/>
      <c r="AB27" s="2"/>
      <c r="AC27" s="2"/>
      <c r="AD27" s="2"/>
      <c r="AE27" s="2"/>
      <c r="AF27" s="2"/>
      <c r="AG27" s="2"/>
      <c r="AH27" s="2"/>
      <c r="AI27" s="2"/>
      <c r="AJ27" s="2"/>
      <c r="AK27" s="2"/>
      <c r="AL27" s="2"/>
      <c r="AM27" s="2"/>
      <c r="AN27" s="2"/>
      <c r="AO27" s="2"/>
      <c r="AP27" s="540" t="s">
        <v>125</v>
      </c>
      <c r="AQ27" s="45" t="s">
        <v>117</v>
      </c>
      <c r="AR27" s="46">
        <v>14</v>
      </c>
      <c r="AS27" s="46">
        <v>13</v>
      </c>
      <c r="AT27" s="47"/>
      <c r="AU27" s="47"/>
    </row>
    <row r="28" spans="1:47" ht="21.8" customHeight="1" x14ac:dyDescent="0.3">
      <c r="A28" s="19" t="s">
        <v>27</v>
      </c>
      <c r="B28" s="6"/>
      <c r="C28" s="23">
        <v>1.7</v>
      </c>
      <c r="D28" s="49">
        <f t="shared" si="25"/>
        <v>1.7</v>
      </c>
      <c r="E28" s="50" t="s">
        <v>85</v>
      </c>
      <c r="F28" s="66">
        <f>F30+F34</f>
        <v>1.014671052631579</v>
      </c>
      <c r="G28" s="30">
        <f t="shared" si="0"/>
        <v>8.3284599899334886</v>
      </c>
      <c r="H28" s="50" t="s">
        <v>85</v>
      </c>
      <c r="I28" s="66">
        <f>I30+I34</f>
        <v>0.68532894736842109</v>
      </c>
      <c r="J28" s="30">
        <f t="shared" si="1"/>
        <v>0.77319635224353844</v>
      </c>
      <c r="K28" s="50" t="s">
        <v>85</v>
      </c>
      <c r="L28" s="66">
        <f>L30+L34</f>
        <v>0.29322960526315789</v>
      </c>
      <c r="M28" s="30">
        <f t="shared" si="2"/>
        <v>1.4793044884208859</v>
      </c>
      <c r="N28" s="50" t="s">
        <v>85</v>
      </c>
      <c r="O28" s="66">
        <f>O30+O34</f>
        <v>0.39209934210526315</v>
      </c>
      <c r="P28" s="30">
        <f t="shared" si="3"/>
        <v>0.44237118860514418</v>
      </c>
      <c r="Q28" s="35"/>
      <c r="R28" s="2"/>
      <c r="S28" s="2"/>
      <c r="T28" s="2"/>
      <c r="U28" s="2"/>
      <c r="V28" s="2"/>
      <c r="W28" s="2"/>
      <c r="X28" s="2"/>
      <c r="Y28" s="2"/>
      <c r="Z28" s="2"/>
      <c r="AA28" s="2"/>
      <c r="AB28" s="2"/>
      <c r="AC28" s="2"/>
      <c r="AD28" s="2"/>
      <c r="AE28" s="2"/>
      <c r="AF28" s="2"/>
      <c r="AG28" s="2"/>
      <c r="AH28" s="2"/>
      <c r="AI28" s="2"/>
      <c r="AJ28" s="2"/>
      <c r="AK28" s="2"/>
      <c r="AL28" s="2"/>
      <c r="AM28" s="2"/>
      <c r="AN28" s="2"/>
      <c r="AO28" s="2"/>
      <c r="AP28" s="537"/>
      <c r="AQ28" s="45" t="s">
        <v>118</v>
      </c>
      <c r="AR28" s="46">
        <v>33</v>
      </c>
      <c r="AS28" s="46">
        <v>15</v>
      </c>
      <c r="AT28" s="59">
        <v>20</v>
      </c>
      <c r="AU28" s="60">
        <v>23</v>
      </c>
    </row>
    <row r="29" spans="1:47" ht="21.8" customHeight="1" x14ac:dyDescent="0.3">
      <c r="A29" s="10"/>
      <c r="B29" s="10"/>
      <c r="C29" s="10"/>
      <c r="D29" s="2"/>
      <c r="E29" s="40" t="s">
        <v>86</v>
      </c>
      <c r="F29" s="66"/>
      <c r="G29" s="30">
        <f t="shared" si="0"/>
        <v>0</v>
      </c>
      <c r="H29" s="40" t="s">
        <v>87</v>
      </c>
      <c r="I29" s="68"/>
      <c r="J29" s="30">
        <f t="shared" si="1"/>
        <v>0</v>
      </c>
      <c r="K29" s="40" t="s">
        <v>86</v>
      </c>
      <c r="L29" s="66"/>
      <c r="M29" s="30">
        <f t="shared" si="2"/>
        <v>0</v>
      </c>
      <c r="N29" s="40" t="s">
        <v>87</v>
      </c>
      <c r="O29" s="68"/>
      <c r="P29" s="30">
        <f t="shared" si="3"/>
        <v>0</v>
      </c>
      <c r="Q29" s="35"/>
      <c r="R29" s="2"/>
      <c r="S29" s="2"/>
      <c r="T29" s="2"/>
      <c r="U29" s="2"/>
      <c r="V29" s="2"/>
      <c r="W29" s="2"/>
      <c r="X29" s="2"/>
      <c r="Y29" s="2"/>
      <c r="Z29" s="2"/>
      <c r="AA29" s="2"/>
      <c r="AB29" s="2"/>
      <c r="AC29" s="2"/>
      <c r="AD29" s="2"/>
      <c r="AE29" s="2"/>
      <c r="AF29" s="2"/>
      <c r="AG29" s="2"/>
      <c r="AH29" s="2"/>
      <c r="AI29" s="2"/>
      <c r="AJ29" s="2"/>
      <c r="AK29" s="2"/>
      <c r="AL29" s="2"/>
      <c r="AM29" s="2"/>
      <c r="AN29" s="2"/>
      <c r="AO29" s="2"/>
      <c r="AP29" s="61"/>
      <c r="AQ29" s="62"/>
      <c r="AR29" s="3"/>
      <c r="AS29" s="3"/>
      <c r="AT29" s="63"/>
      <c r="AU29" s="64"/>
    </row>
    <row r="30" spans="1:47" ht="14.25" customHeight="1" x14ac:dyDescent="0.3">
      <c r="A30" s="13" t="s">
        <v>28</v>
      </c>
      <c r="B30" s="8" t="s">
        <v>126</v>
      </c>
      <c r="C30" s="20">
        <f>C32/0.19</f>
        <v>0.78947368421052633</v>
      </c>
      <c r="D30" s="10">
        <f>C30*$C$4</f>
        <v>0.78947368421052633</v>
      </c>
      <c r="E30" s="50" t="s">
        <v>88</v>
      </c>
      <c r="F30" s="66">
        <f>F32+F33</f>
        <v>0.65273684210526317</v>
      </c>
      <c r="G30" s="30">
        <f t="shared" si="0"/>
        <v>5.3576897254829863</v>
      </c>
      <c r="H30" s="50" t="s">
        <v>88</v>
      </c>
      <c r="I30" s="66">
        <f>I32+I33</f>
        <v>0.13673684210526316</v>
      </c>
      <c r="J30" s="30">
        <f t="shared" si="1"/>
        <v>0.15426814807554673</v>
      </c>
      <c r="K30" s="50" t="s">
        <v>88</v>
      </c>
      <c r="L30" s="66">
        <f>L32+L33</f>
        <v>3.6347368421052635E-2</v>
      </c>
      <c r="M30" s="30">
        <f t="shared" si="2"/>
        <v>0.18336765552474174</v>
      </c>
      <c r="N30" s="50" t="s">
        <v>88</v>
      </c>
      <c r="O30" s="66">
        <f>O32+O33</f>
        <v>0.10038947368421054</v>
      </c>
      <c r="P30" s="30">
        <f t="shared" si="3"/>
        <v>0.1132606103307536</v>
      </c>
      <c r="Q30" s="2"/>
      <c r="R30" s="32"/>
      <c r="S30" s="36"/>
      <c r="T30" s="2"/>
      <c r="U30" s="2"/>
      <c r="V30" s="2"/>
      <c r="W30" s="36"/>
      <c r="X30" s="2"/>
      <c r="Y30" s="2"/>
      <c r="Z30" s="2"/>
      <c r="AA30" s="2"/>
      <c r="AB30" s="2"/>
      <c r="AC30" s="2"/>
      <c r="AD30" s="2"/>
      <c r="AE30" s="2"/>
      <c r="AF30" s="2"/>
      <c r="AG30" s="2"/>
      <c r="AH30" s="2"/>
      <c r="AI30" s="2"/>
      <c r="AJ30" s="2"/>
      <c r="AK30" s="2"/>
      <c r="AL30" s="2"/>
      <c r="AM30" s="2"/>
      <c r="AN30" s="2"/>
      <c r="AO30" s="2"/>
      <c r="AP30" s="2"/>
      <c r="AQ30" s="2"/>
      <c r="AR30" s="2"/>
      <c r="AS30" s="2"/>
      <c r="AT30" s="2"/>
      <c r="AU30" s="2"/>
    </row>
    <row r="31" spans="1:47" ht="14.25" customHeight="1" x14ac:dyDescent="0.3">
      <c r="A31" s="10"/>
      <c r="B31" s="10"/>
      <c r="C31" s="10"/>
      <c r="D31" s="10"/>
      <c r="E31" s="40" t="s">
        <v>156</v>
      </c>
      <c r="F31" s="66"/>
      <c r="G31" s="30">
        <f t="shared" si="0"/>
        <v>0</v>
      </c>
      <c r="H31" s="40" t="s">
        <v>89</v>
      </c>
      <c r="I31" s="66"/>
      <c r="J31" s="30">
        <f t="shared" si="1"/>
        <v>0</v>
      </c>
      <c r="K31" s="40" t="s">
        <v>156</v>
      </c>
      <c r="L31" s="66"/>
      <c r="M31" s="30">
        <f t="shared" si="2"/>
        <v>0</v>
      </c>
      <c r="N31" s="40" t="s">
        <v>89</v>
      </c>
      <c r="O31" s="66"/>
      <c r="P31" s="30">
        <f t="shared" si="3"/>
        <v>0</v>
      </c>
      <c r="Q31" s="2"/>
      <c r="R31" s="32"/>
      <c r="S31" s="36"/>
      <c r="T31" s="2"/>
      <c r="U31" s="2"/>
      <c r="V31" s="2"/>
      <c r="W31" s="36"/>
      <c r="X31" s="2"/>
      <c r="Y31" s="2"/>
      <c r="Z31" s="2"/>
      <c r="AA31" s="2"/>
      <c r="AB31" s="2"/>
      <c r="AC31" s="2"/>
      <c r="AD31" s="2"/>
      <c r="AE31" s="2"/>
      <c r="AF31" s="2"/>
      <c r="AG31" s="2"/>
      <c r="AH31" s="2"/>
      <c r="AI31" s="2"/>
      <c r="AJ31" s="2"/>
      <c r="AK31" s="2"/>
      <c r="AL31" s="2"/>
      <c r="AM31" s="2"/>
      <c r="AN31" s="2"/>
      <c r="AO31" s="2"/>
      <c r="AP31" s="2"/>
      <c r="AQ31" s="2"/>
      <c r="AR31" s="2"/>
      <c r="AS31" s="2"/>
      <c r="AT31" s="2"/>
      <c r="AU31" s="2"/>
    </row>
    <row r="32" spans="1:47" ht="21" customHeight="1" x14ac:dyDescent="0.3">
      <c r="A32" s="13" t="s">
        <v>29</v>
      </c>
      <c r="B32" s="2"/>
      <c r="C32" s="21">
        <v>0.15</v>
      </c>
      <c r="D32" s="10">
        <f t="shared" ref="D32:D34" si="32">C32*$C$4</f>
        <v>0.15</v>
      </c>
      <c r="E32" s="83">
        <v>60</v>
      </c>
      <c r="F32" s="66">
        <f t="shared" ref="F32:F33" si="33">(D32)*E32%</f>
        <v>0.09</v>
      </c>
      <c r="G32" s="30">
        <f t="shared" si="0"/>
        <v>0.73872354705498355</v>
      </c>
      <c r="H32" s="82">
        <f t="shared" ref="H32:H33" si="34">100-E32</f>
        <v>40</v>
      </c>
      <c r="I32" s="68">
        <f t="shared" ref="I32:I33" si="35">(D32)*H32%</f>
        <v>0.06</v>
      </c>
      <c r="J32" s="30">
        <f t="shared" si="1"/>
        <v>6.7692720864558603E-2</v>
      </c>
      <c r="K32" s="83">
        <v>35</v>
      </c>
      <c r="L32" s="66">
        <f t="shared" ref="L32:L33" si="36">(I32)*K32%</f>
        <v>2.0999999999999998E-2</v>
      </c>
      <c r="M32" s="30">
        <f t="shared" si="2"/>
        <v>0.10594221626755276</v>
      </c>
      <c r="N32" s="82">
        <f t="shared" ref="N32:N33" si="37">100-K32</f>
        <v>65</v>
      </c>
      <c r="O32" s="68">
        <f t="shared" ref="O32:O33" si="38">(I32)*N32%</f>
        <v>3.9E-2</v>
      </c>
      <c r="P32" s="30">
        <f t="shared" si="3"/>
        <v>4.4000268561963096E-2</v>
      </c>
      <c r="Q32" s="35"/>
      <c r="R32" s="3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row>
    <row r="33" spans="1:47" ht="14.25" customHeight="1" x14ac:dyDescent="0.3">
      <c r="A33" s="13" t="s">
        <v>30</v>
      </c>
      <c r="B33" s="22" t="s">
        <v>127</v>
      </c>
      <c r="C33" s="14">
        <f>0.81*C30</f>
        <v>0.63947368421052642</v>
      </c>
      <c r="D33" s="10">
        <f t="shared" si="32"/>
        <v>0.63947368421052642</v>
      </c>
      <c r="E33" s="81">
        <v>88</v>
      </c>
      <c r="F33" s="66">
        <f t="shared" si="33"/>
        <v>0.5627368421052632</v>
      </c>
      <c r="G33" s="30">
        <f t="shared" si="0"/>
        <v>4.6189661784280025</v>
      </c>
      <c r="H33" s="82">
        <f t="shared" si="34"/>
        <v>12</v>
      </c>
      <c r="I33" s="68">
        <f t="shared" si="35"/>
        <v>7.6736842105263173E-2</v>
      </c>
      <c r="J33" s="30">
        <f t="shared" si="1"/>
        <v>8.6575427210988126E-2</v>
      </c>
      <c r="K33" s="81">
        <v>20</v>
      </c>
      <c r="L33" s="66">
        <f t="shared" si="36"/>
        <v>1.5347368421052636E-2</v>
      </c>
      <c r="M33" s="30">
        <f t="shared" si="2"/>
        <v>7.7425439257188963E-2</v>
      </c>
      <c r="N33" s="82">
        <f t="shared" si="37"/>
        <v>80</v>
      </c>
      <c r="O33" s="68">
        <f t="shared" si="38"/>
        <v>6.1389473684210542E-2</v>
      </c>
      <c r="P33" s="30">
        <f t="shared" si="3"/>
        <v>6.9260341768790507E-2</v>
      </c>
      <c r="Q33" s="35"/>
      <c r="R33" s="3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row>
    <row r="34" spans="1:47" ht="14.25" customHeight="1" x14ac:dyDescent="0.3">
      <c r="A34" s="13" t="s">
        <v>31</v>
      </c>
      <c r="B34" s="22" t="s">
        <v>32</v>
      </c>
      <c r="C34" s="24">
        <f>C28-C30</f>
        <v>0.91052631578947363</v>
      </c>
      <c r="D34" s="10">
        <f t="shared" si="32"/>
        <v>0.91052631578947363</v>
      </c>
      <c r="E34" s="50" t="s">
        <v>90</v>
      </c>
      <c r="F34" s="66">
        <f>F36+F37</f>
        <v>0.36193421052631575</v>
      </c>
      <c r="G34" s="30">
        <f t="shared" si="0"/>
        <v>2.9707702644505014</v>
      </c>
      <c r="H34" s="50" t="s">
        <v>90</v>
      </c>
      <c r="I34" s="66">
        <f>I36+I37</f>
        <v>0.54859210526315794</v>
      </c>
      <c r="J34" s="30">
        <f t="shared" si="1"/>
        <v>0.61892820416799177</v>
      </c>
      <c r="K34" s="50" t="s">
        <v>90</v>
      </c>
      <c r="L34" s="66">
        <f>L36+L37</f>
        <v>0.25688223684210526</v>
      </c>
      <c r="M34" s="30">
        <f t="shared" si="2"/>
        <v>1.2959368328961443</v>
      </c>
      <c r="N34" s="50" t="s">
        <v>90</v>
      </c>
      <c r="O34" s="66">
        <f>O36+O37</f>
        <v>0.29170986842105262</v>
      </c>
      <c r="P34" s="30">
        <f t="shared" si="3"/>
        <v>0.32911057827439061</v>
      </c>
      <c r="Q34" s="48"/>
      <c r="R34" s="79"/>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row>
    <row r="35" spans="1:47" ht="14.25" customHeight="1" x14ac:dyDescent="0.3">
      <c r="A35" s="10"/>
      <c r="B35" s="10"/>
      <c r="C35" s="10"/>
      <c r="D35" s="2"/>
      <c r="E35" s="40" t="s">
        <v>157</v>
      </c>
      <c r="F35" s="66"/>
      <c r="G35" s="30">
        <f t="shared" si="0"/>
        <v>0</v>
      </c>
      <c r="H35" s="40" t="s">
        <v>91</v>
      </c>
      <c r="I35" s="66"/>
      <c r="J35" s="30">
        <f t="shared" si="1"/>
        <v>0</v>
      </c>
      <c r="K35" s="40" t="s">
        <v>157</v>
      </c>
      <c r="L35" s="66"/>
      <c r="M35" s="30">
        <f t="shared" si="2"/>
        <v>0</v>
      </c>
      <c r="N35" s="40" t="s">
        <v>91</v>
      </c>
      <c r="O35" s="66"/>
      <c r="P35" s="30">
        <f t="shared" si="3"/>
        <v>0</v>
      </c>
      <c r="Q35" s="48"/>
      <c r="R35" s="79"/>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row>
    <row r="36" spans="1:47" ht="14.25" customHeight="1" x14ac:dyDescent="0.3">
      <c r="A36" s="13" t="s">
        <v>33</v>
      </c>
      <c r="B36" s="8" t="s">
        <v>34</v>
      </c>
      <c r="C36" s="14">
        <f>0.75*C34</f>
        <v>0.68289473684210522</v>
      </c>
      <c r="D36" s="10">
        <f t="shared" ref="D36:D38" si="39">C36*$C$4</f>
        <v>0.68289473684210522</v>
      </c>
      <c r="E36" s="81">
        <v>52</v>
      </c>
      <c r="F36" s="66">
        <f t="shared" ref="F36:F37" si="40">(D36)*E36%</f>
        <v>0.3551052631578947</v>
      </c>
      <c r="G36" s="30">
        <f t="shared" si="0"/>
        <v>2.914717995309926</v>
      </c>
      <c r="H36" s="82">
        <f t="shared" ref="H36:H37" si="41">100-E36</f>
        <v>48</v>
      </c>
      <c r="I36" s="68">
        <f t="shared" ref="I36:I37" si="42">(D36)*H36%</f>
        <v>0.32778947368421052</v>
      </c>
      <c r="J36" s="30">
        <f t="shared" si="1"/>
        <v>0.36981602240743072</v>
      </c>
      <c r="K36" s="81">
        <v>75</v>
      </c>
      <c r="L36" s="66">
        <f t="shared" ref="L36:L37" si="43">(I36)*K36%</f>
        <v>0.24584210526315789</v>
      </c>
      <c r="M36" s="30">
        <f t="shared" si="2"/>
        <v>1.2402408325457119</v>
      </c>
      <c r="N36" s="82">
        <f t="shared" ref="N36:N37" si="44">100-K36</f>
        <v>25</v>
      </c>
      <c r="O36" s="68">
        <f t="shared" ref="O36:O37" si="45">(I36)*N36%</f>
        <v>8.194736842105263E-2</v>
      </c>
      <c r="P36" s="30">
        <f t="shared" si="3"/>
        <v>9.2454005601857681E-2</v>
      </c>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row>
    <row r="37" spans="1:47" ht="14.25" customHeight="1" x14ac:dyDescent="0.3">
      <c r="A37" s="16" t="s">
        <v>35</v>
      </c>
      <c r="B37" s="17" t="s">
        <v>36</v>
      </c>
      <c r="C37" s="18">
        <f>0.25*C34</f>
        <v>0.22763157894736841</v>
      </c>
      <c r="D37" s="10">
        <f t="shared" si="39"/>
        <v>0.22763157894736841</v>
      </c>
      <c r="E37" s="81">
        <v>3</v>
      </c>
      <c r="F37" s="66">
        <f t="shared" si="40"/>
        <v>6.8289473684210516E-3</v>
      </c>
      <c r="G37" s="30">
        <f t="shared" si="0"/>
        <v>5.6052269140575497E-2</v>
      </c>
      <c r="H37" s="82">
        <f t="shared" si="41"/>
        <v>97</v>
      </c>
      <c r="I37" s="68">
        <f t="shared" si="42"/>
        <v>0.22080263157894736</v>
      </c>
      <c r="J37" s="30">
        <f t="shared" si="1"/>
        <v>0.24911218176056096</v>
      </c>
      <c r="K37" s="81">
        <v>5</v>
      </c>
      <c r="L37" s="66">
        <f t="shared" si="43"/>
        <v>1.1040131578947369E-2</v>
      </c>
      <c r="M37" s="30">
        <f t="shared" si="2"/>
        <v>5.5696000350432436E-2</v>
      </c>
      <c r="N37" s="82">
        <f t="shared" si="44"/>
        <v>95</v>
      </c>
      <c r="O37" s="68">
        <f t="shared" si="45"/>
        <v>0.20976249999999999</v>
      </c>
      <c r="P37" s="30">
        <f t="shared" si="3"/>
        <v>0.2366565726725329</v>
      </c>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row>
    <row r="38" spans="1:47" ht="14.25" customHeight="1" x14ac:dyDescent="0.3">
      <c r="A38" s="19" t="s">
        <v>37</v>
      </c>
      <c r="B38" s="6"/>
      <c r="C38" s="9">
        <v>4.5</v>
      </c>
      <c r="D38" s="10">
        <f t="shared" si="39"/>
        <v>4.5</v>
      </c>
      <c r="E38" s="40" t="s">
        <v>158</v>
      </c>
      <c r="F38" s="66">
        <f>F40+F44</f>
        <v>0.63450000000000006</v>
      </c>
      <c r="G38" s="30">
        <f t="shared" si="0"/>
        <v>5.2080010067376348</v>
      </c>
      <c r="H38" s="67" t="s">
        <v>92</v>
      </c>
      <c r="I38" s="66">
        <f>I40+I44</f>
        <v>3.8654999999999999</v>
      </c>
      <c r="J38" s="30">
        <f t="shared" si="1"/>
        <v>4.3611035416991886</v>
      </c>
      <c r="K38" s="40" t="s">
        <v>158</v>
      </c>
      <c r="L38" s="66">
        <f>L40+L44</f>
        <v>0.63859500000000002</v>
      </c>
      <c r="M38" s="30">
        <f t="shared" si="2"/>
        <v>3.2216271236846605</v>
      </c>
      <c r="N38" s="67" t="s">
        <v>92</v>
      </c>
      <c r="O38" s="66">
        <f>O40+O44</f>
        <v>3.2269049999999999</v>
      </c>
      <c r="P38" s="30">
        <f t="shared" si="3"/>
        <v>3.6406329903574748</v>
      </c>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row>
    <row r="39" spans="1:47" ht="14.25" customHeight="1" x14ac:dyDescent="0.3">
      <c r="A39" s="10"/>
      <c r="B39" s="10"/>
      <c r="C39" s="10"/>
      <c r="D39" s="2"/>
      <c r="E39" s="40" t="s">
        <v>158</v>
      </c>
      <c r="F39" s="66"/>
      <c r="G39" s="30">
        <f t="shared" si="0"/>
        <v>0</v>
      </c>
      <c r="H39" s="40" t="s">
        <v>93</v>
      </c>
      <c r="I39" s="66"/>
      <c r="J39" s="30">
        <f t="shared" si="1"/>
        <v>0</v>
      </c>
      <c r="K39" s="40" t="s">
        <v>158</v>
      </c>
      <c r="L39" s="66"/>
      <c r="M39" s="30">
        <f t="shared" si="2"/>
        <v>0</v>
      </c>
      <c r="N39" s="40" t="s">
        <v>93</v>
      </c>
      <c r="O39" s="66"/>
      <c r="P39" s="30">
        <f t="shared" si="3"/>
        <v>0</v>
      </c>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row>
    <row r="40" spans="1:47" ht="14.25" customHeight="1" x14ac:dyDescent="0.3">
      <c r="A40" s="13" t="s">
        <v>38</v>
      </c>
      <c r="B40" s="8" t="s">
        <v>39</v>
      </c>
      <c r="C40" s="20">
        <f>C42+C43</f>
        <v>4.5</v>
      </c>
      <c r="D40" s="49">
        <f>C40*$C$4</f>
        <v>4.5</v>
      </c>
      <c r="E40" s="50" t="s">
        <v>94</v>
      </c>
      <c r="F40" s="66">
        <f>F42+F43</f>
        <v>0.63450000000000006</v>
      </c>
      <c r="G40" s="30">
        <f t="shared" si="0"/>
        <v>5.2080010067376348</v>
      </c>
      <c r="H40" s="50" t="s">
        <v>94</v>
      </c>
      <c r="I40" s="68">
        <f>I42+I43</f>
        <v>3.8654999999999999</v>
      </c>
      <c r="J40" s="30">
        <f t="shared" si="1"/>
        <v>4.3611035416991886</v>
      </c>
      <c r="K40" s="50" t="s">
        <v>128</v>
      </c>
      <c r="L40" s="66">
        <f>L42+L43</f>
        <v>0.63859500000000002</v>
      </c>
      <c r="M40" s="30">
        <f t="shared" si="2"/>
        <v>3.2216271236846605</v>
      </c>
      <c r="N40" s="50" t="s">
        <v>94</v>
      </c>
      <c r="O40" s="68">
        <f>O42+O43</f>
        <v>3.2269049999999999</v>
      </c>
      <c r="P40" s="30">
        <f t="shared" si="3"/>
        <v>3.6406329903574748</v>
      </c>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row>
    <row r="41" spans="1:47" ht="14.25" customHeight="1" x14ac:dyDescent="0.3">
      <c r="A41" s="10"/>
      <c r="B41" s="10"/>
      <c r="C41" s="10"/>
      <c r="D41" s="10"/>
      <c r="E41" s="40" t="s">
        <v>159</v>
      </c>
      <c r="F41" s="26"/>
      <c r="G41" s="30">
        <f t="shared" si="0"/>
        <v>0</v>
      </c>
      <c r="H41" s="40" t="s">
        <v>95</v>
      </c>
      <c r="I41" s="26"/>
      <c r="J41" s="30">
        <f t="shared" si="1"/>
        <v>0</v>
      </c>
      <c r="K41" s="40" t="s">
        <v>159</v>
      </c>
      <c r="L41" s="26"/>
      <c r="M41" s="30">
        <f t="shared" si="2"/>
        <v>0</v>
      </c>
      <c r="N41" s="40" t="s">
        <v>95</v>
      </c>
      <c r="O41" s="26"/>
      <c r="P41" s="30">
        <f t="shared" si="3"/>
        <v>0</v>
      </c>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row>
    <row r="42" spans="1:47" ht="14.25" customHeight="1" x14ac:dyDescent="0.3">
      <c r="A42" s="13" t="s">
        <v>40</v>
      </c>
      <c r="B42" s="8" t="s">
        <v>41</v>
      </c>
      <c r="C42" s="14">
        <f>0.86*C38</f>
        <v>3.87</v>
      </c>
      <c r="D42" s="10">
        <f t="shared" ref="D42:D44" si="46">C42*$C$4</f>
        <v>3.87</v>
      </c>
      <c r="E42" s="81">
        <v>5</v>
      </c>
      <c r="F42" s="66">
        <f t="shared" ref="F42:F43" si="47">(D42)*E42%</f>
        <v>0.19350000000000001</v>
      </c>
      <c r="G42" s="30">
        <f t="shared" si="0"/>
        <v>1.5882556261682146</v>
      </c>
      <c r="H42" s="82">
        <f t="shared" ref="H42:H43" si="48">100-E42</f>
        <v>95</v>
      </c>
      <c r="I42" s="68">
        <f t="shared" ref="I42:I43" si="49">(D42)*H42%</f>
        <v>3.6764999999999999</v>
      </c>
      <c r="J42" s="30">
        <f t="shared" si="1"/>
        <v>4.1478714709758284</v>
      </c>
      <c r="K42" s="81">
        <v>13</v>
      </c>
      <c r="L42" s="66">
        <f t="shared" ref="L42:L43" si="50">(I42)*K42%</f>
        <v>0.47794500000000001</v>
      </c>
      <c r="M42" s="30">
        <f t="shared" si="2"/>
        <v>2.4111691692378816</v>
      </c>
      <c r="N42" s="82">
        <f t="shared" ref="N42:N43" si="51">100-K42</f>
        <v>87</v>
      </c>
      <c r="O42" s="68">
        <f t="shared" ref="O42:O43" si="52">(I42)*N42%</f>
        <v>3.1985549999999998</v>
      </c>
      <c r="P42" s="30">
        <f t="shared" si="3"/>
        <v>3.6086481797489709</v>
      </c>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row>
    <row r="43" spans="1:47" ht="14.25" customHeight="1" x14ac:dyDescent="0.3">
      <c r="A43" s="13" t="s">
        <v>42</v>
      </c>
      <c r="B43" s="8" t="s">
        <v>43</v>
      </c>
      <c r="C43" s="14">
        <f>0.14*C38</f>
        <v>0.63000000000000012</v>
      </c>
      <c r="D43" s="10">
        <f t="shared" si="46"/>
        <v>0.63000000000000012</v>
      </c>
      <c r="E43" s="81">
        <v>70</v>
      </c>
      <c r="F43" s="66">
        <f t="shared" si="47"/>
        <v>0.44100000000000006</v>
      </c>
      <c r="G43" s="30">
        <f t="shared" si="0"/>
        <v>3.61974538056942</v>
      </c>
      <c r="H43" s="82">
        <f t="shared" si="48"/>
        <v>30</v>
      </c>
      <c r="I43" s="68">
        <f t="shared" si="49"/>
        <v>0.18900000000000003</v>
      </c>
      <c r="J43" s="30">
        <f t="shared" si="1"/>
        <v>0.21323207072335965</v>
      </c>
      <c r="K43" s="81">
        <v>85</v>
      </c>
      <c r="L43" s="66">
        <f t="shared" si="50"/>
        <v>0.16065000000000002</v>
      </c>
      <c r="M43" s="30">
        <f t="shared" si="2"/>
        <v>0.81045795444677882</v>
      </c>
      <c r="N43" s="82">
        <f t="shared" si="51"/>
        <v>15</v>
      </c>
      <c r="O43" s="68">
        <f t="shared" si="52"/>
        <v>2.8350000000000004E-2</v>
      </c>
      <c r="P43" s="30">
        <f t="shared" si="3"/>
        <v>3.1984810608503944E-2</v>
      </c>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row>
    <row r="44" spans="1:47" ht="14.25" customHeight="1" x14ac:dyDescent="0.3">
      <c r="A44" s="13" t="s">
        <v>44</v>
      </c>
      <c r="B44" s="8" t="s">
        <v>45</v>
      </c>
      <c r="C44" s="12">
        <f>C46+C47</f>
        <v>0</v>
      </c>
      <c r="D44" s="10">
        <f t="shared" si="46"/>
        <v>0</v>
      </c>
      <c r="E44" s="50" t="s">
        <v>96</v>
      </c>
      <c r="F44" s="66">
        <f>F46+F47</f>
        <v>0</v>
      </c>
      <c r="G44" s="30">
        <f t="shared" si="0"/>
        <v>0</v>
      </c>
      <c r="H44" s="50" t="s">
        <v>96</v>
      </c>
      <c r="I44" s="68">
        <f>I46+I47</f>
        <v>0</v>
      </c>
      <c r="J44" s="30">
        <f t="shared" si="1"/>
        <v>0</v>
      </c>
      <c r="K44" s="50" t="s">
        <v>96</v>
      </c>
      <c r="L44" s="66">
        <f>L46+L47</f>
        <v>0</v>
      </c>
      <c r="M44" s="30">
        <f t="shared" si="2"/>
        <v>0</v>
      </c>
      <c r="N44" s="50" t="s">
        <v>96</v>
      </c>
      <c r="O44" s="68">
        <f>O46+O47</f>
        <v>0</v>
      </c>
      <c r="P44" s="30">
        <f t="shared" si="3"/>
        <v>0</v>
      </c>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row>
    <row r="45" spans="1:47" ht="14.25" customHeight="1" x14ac:dyDescent="0.3">
      <c r="A45" s="10"/>
      <c r="B45" s="10"/>
      <c r="C45" s="10"/>
      <c r="D45" s="2"/>
      <c r="E45" s="40" t="s">
        <v>160</v>
      </c>
      <c r="F45" s="26"/>
      <c r="G45" s="30">
        <f t="shared" si="0"/>
        <v>0</v>
      </c>
      <c r="H45" s="40" t="s">
        <v>97</v>
      </c>
      <c r="I45" s="26"/>
      <c r="J45" s="30">
        <f t="shared" si="1"/>
        <v>0</v>
      </c>
      <c r="K45" s="40" t="s">
        <v>160</v>
      </c>
      <c r="L45" s="26"/>
      <c r="M45" s="30">
        <f t="shared" si="2"/>
        <v>0</v>
      </c>
      <c r="N45" s="40" t="s">
        <v>97</v>
      </c>
      <c r="O45" s="26"/>
      <c r="P45" s="30">
        <f t="shared" si="3"/>
        <v>0</v>
      </c>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row>
    <row r="46" spans="1:47" ht="14.25" customHeight="1" x14ac:dyDescent="0.3">
      <c r="A46" s="13" t="s">
        <v>46</v>
      </c>
      <c r="B46" s="8" t="s">
        <v>47</v>
      </c>
      <c r="C46" s="14">
        <f>0*C38</f>
        <v>0</v>
      </c>
      <c r="D46" s="10">
        <f t="shared" ref="D46:D47" si="53">C46*$C$4</f>
        <v>0</v>
      </c>
      <c r="E46" s="81">
        <v>55</v>
      </c>
      <c r="F46" s="66">
        <f t="shared" ref="F46:F47" si="54">(D46)*E46%</f>
        <v>0</v>
      </c>
      <c r="G46" s="30">
        <f t="shared" si="0"/>
        <v>0</v>
      </c>
      <c r="H46" s="82">
        <f t="shared" ref="H46:H47" si="55">100-E46</f>
        <v>45</v>
      </c>
      <c r="I46" s="68">
        <f t="shared" ref="I46:I47" si="56">(D46)*H46%</f>
        <v>0</v>
      </c>
      <c r="J46" s="30">
        <f t="shared" si="1"/>
        <v>0</v>
      </c>
      <c r="K46" s="81">
        <v>90</v>
      </c>
      <c r="L46" s="66">
        <f t="shared" ref="L46:L47" si="57">(I46)*K46%</f>
        <v>0</v>
      </c>
      <c r="M46" s="30">
        <f t="shared" si="2"/>
        <v>0</v>
      </c>
      <c r="N46" s="82">
        <f t="shared" ref="N46:N47" si="58">100-K46</f>
        <v>10</v>
      </c>
      <c r="O46" s="68">
        <f t="shared" ref="O46:O47" si="59">(I46)*N46%</f>
        <v>0</v>
      </c>
      <c r="P46" s="30">
        <f t="shared" si="3"/>
        <v>0</v>
      </c>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row>
    <row r="47" spans="1:47" ht="14.25" customHeight="1" x14ac:dyDescent="0.3">
      <c r="A47" s="16" t="s">
        <v>48</v>
      </c>
      <c r="B47" s="17" t="s">
        <v>47</v>
      </c>
      <c r="C47" s="18">
        <f>0*C38</f>
        <v>0</v>
      </c>
      <c r="D47" s="10">
        <f t="shared" si="53"/>
        <v>0</v>
      </c>
      <c r="E47" s="81">
        <v>10</v>
      </c>
      <c r="F47" s="66">
        <f t="shared" si="54"/>
        <v>0</v>
      </c>
      <c r="G47" s="30">
        <f t="shared" si="0"/>
        <v>0</v>
      </c>
      <c r="H47" s="82">
        <f t="shared" si="55"/>
        <v>90</v>
      </c>
      <c r="I47" s="68">
        <f t="shared" si="56"/>
        <v>0</v>
      </c>
      <c r="J47" s="30">
        <f t="shared" si="1"/>
        <v>0</v>
      </c>
      <c r="K47" s="81">
        <v>20</v>
      </c>
      <c r="L47" s="66">
        <f t="shared" si="57"/>
        <v>0</v>
      </c>
      <c r="M47" s="30">
        <f t="shared" si="2"/>
        <v>0</v>
      </c>
      <c r="N47" s="82">
        <f t="shared" si="58"/>
        <v>80</v>
      </c>
      <c r="O47" s="68">
        <f t="shared" si="59"/>
        <v>0</v>
      </c>
      <c r="P47" s="30">
        <f t="shared" si="3"/>
        <v>0</v>
      </c>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row>
    <row r="48" spans="1:47" ht="14.25" customHeight="1" x14ac:dyDescent="0.3">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row>
    <row r="49" spans="1:47" ht="14.2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row>
    <row r="50" spans="1:47" ht="14.2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row>
    <row r="51" spans="1:47" ht="30.05" customHeight="1" x14ac:dyDescent="0.3">
      <c r="A51" s="2"/>
      <c r="B51" s="35"/>
      <c r="C51" s="25"/>
      <c r="D51" s="2"/>
      <c r="E51" s="2"/>
      <c r="F51" s="2"/>
      <c r="G51" s="2"/>
      <c r="H51" s="2"/>
      <c r="I51" s="2"/>
      <c r="J51" s="1"/>
      <c r="K51" s="1"/>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row>
    <row r="52" spans="1:47" ht="14.25" customHeight="1" x14ac:dyDescent="0.3">
      <c r="A52" s="2"/>
      <c r="B52" s="35"/>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row>
    <row r="53" spans="1:47" ht="14.25" customHeight="1" x14ac:dyDescent="0.3">
      <c r="A53" s="2"/>
      <c r="B53" s="2"/>
      <c r="C53" s="2"/>
      <c r="D53" s="36"/>
      <c r="E53" s="2"/>
      <c r="F53" s="2"/>
      <c r="G53" s="2"/>
      <c r="H53" s="36"/>
      <c r="I53" s="2"/>
      <c r="J53" s="2"/>
      <c r="K53" s="2"/>
      <c r="L53" s="2"/>
      <c r="M53" s="2"/>
      <c r="N53" s="2"/>
      <c r="O53" s="2"/>
      <c r="P53" s="2"/>
      <c r="Q53" s="2"/>
      <c r="R53" s="2"/>
      <c r="S53" s="2"/>
      <c r="T53" s="2"/>
      <c r="U53" s="2"/>
      <c r="V53" s="2"/>
      <c r="W53" s="2"/>
      <c r="X53" s="2"/>
      <c r="Y53" s="2"/>
      <c r="Z53" s="2"/>
      <c r="AA53" s="37" t="s">
        <v>161</v>
      </c>
      <c r="AB53" s="38"/>
      <c r="AC53" s="38"/>
      <c r="AD53" s="38"/>
      <c r="AE53" s="38"/>
      <c r="AF53" s="38"/>
      <c r="AG53" s="2"/>
      <c r="AH53" s="2"/>
      <c r="AI53" s="2"/>
      <c r="AJ53" s="2"/>
      <c r="AK53" s="2"/>
      <c r="AL53" s="2"/>
      <c r="AM53" s="2"/>
      <c r="AN53" s="2"/>
      <c r="AO53" s="2"/>
      <c r="AP53" s="2"/>
      <c r="AQ53" s="2"/>
      <c r="AR53" s="2"/>
      <c r="AS53" s="2"/>
      <c r="AT53" s="2"/>
      <c r="AU53" s="2"/>
    </row>
    <row r="54" spans="1:47" ht="14.25" customHeight="1" x14ac:dyDescent="0.3">
      <c r="A54" s="2"/>
      <c r="B54" s="35"/>
      <c r="C54" s="29"/>
      <c r="D54" s="2"/>
      <c r="E54" s="2"/>
      <c r="F54" s="2"/>
      <c r="G54" s="2"/>
      <c r="H54" s="2"/>
      <c r="I54" s="2"/>
      <c r="J54" s="2"/>
      <c r="K54" s="2"/>
      <c r="L54" s="2"/>
      <c r="M54" s="2"/>
      <c r="N54" s="2"/>
      <c r="O54" s="2"/>
      <c r="P54" s="2"/>
      <c r="Q54" s="2"/>
      <c r="R54" s="2"/>
      <c r="S54" s="2"/>
      <c r="T54" s="2"/>
      <c r="U54" s="2"/>
      <c r="V54" s="2"/>
      <c r="W54" s="2"/>
      <c r="X54" s="2"/>
      <c r="Y54" s="2"/>
      <c r="Z54" s="2"/>
      <c r="AA54" s="41" t="s">
        <v>0</v>
      </c>
      <c r="AB54" s="42" t="s">
        <v>115</v>
      </c>
      <c r="AC54" s="42" t="s">
        <v>107</v>
      </c>
      <c r="AD54" s="42" t="s">
        <v>108</v>
      </c>
      <c r="AE54" s="42" t="s">
        <v>109</v>
      </c>
      <c r="AF54" s="42" t="s">
        <v>53</v>
      </c>
      <c r="AG54" s="2"/>
      <c r="AH54" s="2"/>
      <c r="AI54" s="2"/>
      <c r="AJ54" s="2"/>
      <c r="AK54" s="2"/>
      <c r="AL54" s="2"/>
      <c r="AM54" s="2"/>
      <c r="AN54" s="2"/>
      <c r="AO54" s="2"/>
      <c r="AP54" s="2"/>
      <c r="AQ54" s="2"/>
      <c r="AR54" s="2"/>
      <c r="AS54" s="2"/>
      <c r="AT54" s="2"/>
      <c r="AU54" s="2"/>
    </row>
    <row r="55" spans="1:47" ht="14.25" customHeight="1" x14ac:dyDescent="0.3">
      <c r="A55" s="2"/>
      <c r="B55" s="35"/>
      <c r="C55" s="29"/>
      <c r="D55" s="2"/>
      <c r="E55" s="2"/>
      <c r="F55" s="2"/>
      <c r="G55" s="2"/>
      <c r="H55" s="2"/>
      <c r="I55" s="2"/>
      <c r="J55" s="2"/>
      <c r="K55" s="2"/>
      <c r="L55" s="2"/>
      <c r="M55" s="2"/>
      <c r="N55" s="2"/>
      <c r="O55" s="2"/>
      <c r="P55" s="2"/>
      <c r="Q55" s="2"/>
      <c r="R55" s="2"/>
      <c r="S55" s="2"/>
      <c r="T55" s="2"/>
      <c r="U55" s="2"/>
      <c r="V55" s="2"/>
      <c r="W55" s="2"/>
      <c r="X55" s="2"/>
      <c r="Y55" s="2"/>
      <c r="Z55" s="2"/>
      <c r="AA55" s="43"/>
      <c r="AB55" s="42"/>
      <c r="AC55" s="42"/>
      <c r="AD55" s="42"/>
      <c r="AE55" s="42"/>
      <c r="AF55" s="42"/>
      <c r="AG55" s="2"/>
      <c r="AH55" s="2"/>
      <c r="AI55" s="2"/>
      <c r="AJ55" s="2"/>
      <c r="AK55" s="2"/>
      <c r="AL55" s="2"/>
      <c r="AM55" s="2"/>
      <c r="AN55" s="2"/>
      <c r="AO55" s="2"/>
      <c r="AP55" s="2"/>
      <c r="AQ55" s="2"/>
      <c r="AR55" s="2"/>
      <c r="AS55" s="2"/>
      <c r="AT55" s="2"/>
      <c r="AU55" s="2"/>
    </row>
    <row r="56" spans="1:47" ht="14.25" customHeight="1" x14ac:dyDescent="0.3">
      <c r="A56" s="2"/>
      <c r="B56" s="35"/>
      <c r="C56" s="32"/>
      <c r="D56" s="2"/>
      <c r="E56" s="2"/>
      <c r="F56" s="2"/>
      <c r="G56" s="2"/>
      <c r="H56" s="2"/>
      <c r="I56" s="2"/>
      <c r="J56" s="2"/>
      <c r="K56" s="2"/>
      <c r="L56" s="2"/>
      <c r="M56" s="2"/>
      <c r="N56" s="2"/>
      <c r="O56" s="2"/>
      <c r="P56" s="2"/>
      <c r="Q56" s="2"/>
      <c r="R56" s="2"/>
      <c r="S56" s="2"/>
      <c r="T56" s="2"/>
      <c r="U56" s="2"/>
      <c r="V56" s="2"/>
      <c r="W56" s="44"/>
      <c r="X56" s="2"/>
      <c r="Y56" s="2"/>
      <c r="Z56" s="2"/>
      <c r="AA56" s="535" t="s">
        <v>116</v>
      </c>
      <c r="AB56" s="45" t="s">
        <v>117</v>
      </c>
      <c r="AC56" s="46">
        <v>12</v>
      </c>
      <c r="AD56" s="46">
        <v>13</v>
      </c>
      <c r="AE56" s="47"/>
      <c r="AF56" s="47"/>
      <c r="AG56" s="2"/>
      <c r="AH56" s="2"/>
      <c r="AI56" s="2"/>
      <c r="AJ56" s="2"/>
      <c r="AK56" s="2"/>
      <c r="AL56" s="2"/>
      <c r="AM56" s="2"/>
      <c r="AN56" s="2"/>
      <c r="AO56" s="2"/>
      <c r="AP56" s="2"/>
      <c r="AQ56" s="2"/>
      <c r="AR56" s="2"/>
      <c r="AS56" s="2"/>
      <c r="AT56" s="2"/>
      <c r="AU56" s="2"/>
    </row>
    <row r="57" spans="1:47" ht="14.25" customHeight="1" x14ac:dyDescent="0.3">
      <c r="A57" s="2"/>
      <c r="B57" s="48"/>
      <c r="C57" s="79"/>
      <c r="D57" s="2"/>
      <c r="E57" s="2"/>
      <c r="F57" s="2"/>
      <c r="G57" s="2"/>
      <c r="H57" s="2"/>
      <c r="I57" s="2"/>
      <c r="J57" s="2"/>
      <c r="K57" s="2"/>
      <c r="L57" s="2"/>
      <c r="M57" s="2"/>
      <c r="N57" s="2"/>
      <c r="O57" s="2"/>
      <c r="P57" s="2"/>
      <c r="Q57" s="2"/>
      <c r="R57" s="2"/>
      <c r="S57" s="2"/>
      <c r="T57" s="2"/>
      <c r="U57" s="2"/>
      <c r="V57" s="2"/>
      <c r="W57" s="2"/>
      <c r="X57" s="2"/>
      <c r="Y57" s="2"/>
      <c r="Z57" s="2"/>
      <c r="AA57" s="536"/>
      <c r="AB57" s="45"/>
      <c r="AC57" s="46"/>
      <c r="AD57" s="46"/>
      <c r="AE57" s="47"/>
      <c r="AF57" s="47"/>
      <c r="AG57" s="2"/>
      <c r="AH57" s="2"/>
      <c r="AI57" s="2"/>
      <c r="AJ57" s="2"/>
      <c r="AK57" s="2"/>
      <c r="AL57" s="2"/>
      <c r="AM57" s="2"/>
      <c r="AN57" s="2"/>
      <c r="AO57" s="2"/>
      <c r="AP57" s="2"/>
      <c r="AQ57" s="2"/>
      <c r="AR57" s="2"/>
      <c r="AS57" s="2"/>
      <c r="AT57" s="2"/>
      <c r="AU57" s="2"/>
    </row>
    <row r="58" spans="1:47" ht="14.25" customHeight="1" x14ac:dyDescent="0.3">
      <c r="A58" s="2"/>
      <c r="B58" s="2"/>
      <c r="C58" s="25"/>
      <c r="D58" s="2"/>
      <c r="E58" s="2"/>
      <c r="F58" s="2"/>
      <c r="G58" s="2"/>
      <c r="H58" s="2"/>
      <c r="I58" s="2"/>
      <c r="J58" s="2"/>
      <c r="K58" s="2"/>
      <c r="L58" s="2"/>
      <c r="M58" s="2"/>
      <c r="N58" s="2"/>
      <c r="O58" s="2"/>
      <c r="P58" s="2"/>
      <c r="Q58" s="2"/>
      <c r="R58" s="2"/>
      <c r="S58" s="2"/>
      <c r="T58" s="2"/>
      <c r="U58" s="2"/>
      <c r="V58" s="2"/>
      <c r="W58" s="2"/>
      <c r="X58" s="2"/>
      <c r="Y58" s="2"/>
      <c r="Z58" s="2"/>
      <c r="AA58" s="537"/>
      <c r="AB58" s="45" t="s">
        <v>118</v>
      </c>
      <c r="AC58" s="46">
        <v>21</v>
      </c>
      <c r="AD58" s="46">
        <v>34</v>
      </c>
      <c r="AE58" s="51">
        <v>20</v>
      </c>
      <c r="AF58" s="52">
        <v>31</v>
      </c>
      <c r="AG58" s="2"/>
      <c r="AH58" s="2"/>
      <c r="AI58" s="2"/>
      <c r="AJ58" s="2"/>
      <c r="AK58" s="2"/>
      <c r="AL58" s="2"/>
      <c r="AM58" s="2"/>
      <c r="AN58" s="2"/>
      <c r="AO58" s="2"/>
      <c r="AP58" s="2"/>
      <c r="AQ58" s="2"/>
      <c r="AR58" s="2"/>
      <c r="AS58" s="2"/>
      <c r="AT58" s="2"/>
      <c r="AU58" s="2"/>
    </row>
    <row r="59" spans="1:47" ht="14.25" customHeight="1" x14ac:dyDescent="0.3">
      <c r="A59" s="2"/>
      <c r="B59" s="2"/>
      <c r="C59" s="25"/>
      <c r="D59" s="2"/>
      <c r="E59" s="2"/>
      <c r="F59" s="2"/>
      <c r="G59" s="2"/>
      <c r="H59" s="2"/>
      <c r="I59" s="2"/>
      <c r="J59" s="2"/>
      <c r="K59" s="2"/>
      <c r="L59" s="2"/>
      <c r="M59" s="2"/>
      <c r="N59" s="2"/>
      <c r="O59" s="2"/>
      <c r="P59" s="2"/>
      <c r="Q59" s="2"/>
      <c r="R59" s="2"/>
      <c r="S59" s="2"/>
      <c r="T59" s="2"/>
      <c r="U59" s="2"/>
      <c r="V59" s="2"/>
      <c r="W59" s="2"/>
      <c r="X59" s="2"/>
      <c r="Y59" s="2"/>
      <c r="Z59" s="2"/>
      <c r="AA59" s="53"/>
      <c r="AB59" s="45"/>
      <c r="AC59" s="46"/>
      <c r="AD59" s="46"/>
      <c r="AE59" s="51"/>
      <c r="AF59" s="52"/>
      <c r="AG59" s="2"/>
      <c r="AH59" s="2"/>
      <c r="AI59" s="2"/>
      <c r="AJ59" s="2"/>
      <c r="AK59" s="2"/>
      <c r="AL59" s="2"/>
      <c r="AM59" s="2"/>
      <c r="AN59" s="2"/>
      <c r="AO59" s="2"/>
      <c r="AP59" s="2"/>
      <c r="AQ59" s="2"/>
      <c r="AR59" s="2"/>
      <c r="AS59" s="2"/>
      <c r="AT59" s="2"/>
      <c r="AU59" s="2"/>
    </row>
    <row r="60" spans="1:47" ht="14.25" customHeight="1" x14ac:dyDescent="0.3">
      <c r="A60" s="2"/>
      <c r="B60" s="2"/>
      <c r="C60" s="25"/>
      <c r="D60" s="2"/>
      <c r="E60" s="2"/>
      <c r="F60" s="2"/>
      <c r="G60" s="2"/>
      <c r="H60" s="2"/>
      <c r="I60" s="2"/>
      <c r="J60" s="2"/>
      <c r="K60" s="2"/>
      <c r="L60" s="2"/>
      <c r="M60" s="2"/>
      <c r="N60" s="2"/>
      <c r="O60" s="2"/>
      <c r="P60" s="2"/>
      <c r="Q60" s="2"/>
      <c r="R60" s="2"/>
      <c r="S60" s="2"/>
      <c r="T60" s="2"/>
      <c r="U60" s="2"/>
      <c r="V60" s="2"/>
      <c r="W60" s="2"/>
      <c r="X60" s="2"/>
      <c r="Y60" s="2"/>
      <c r="Z60" s="2"/>
      <c r="AA60" s="538" t="s">
        <v>4</v>
      </c>
      <c r="AB60" s="45" t="s">
        <v>117</v>
      </c>
      <c r="AC60" s="46">
        <v>40</v>
      </c>
      <c r="AD60" s="46">
        <v>37</v>
      </c>
      <c r="AE60" s="54"/>
      <c r="AF60" s="54"/>
      <c r="AG60" s="2"/>
      <c r="AH60" s="2"/>
      <c r="AI60" s="2"/>
      <c r="AJ60" s="2"/>
      <c r="AK60" s="2"/>
      <c r="AL60" s="2"/>
      <c r="AM60" s="2"/>
      <c r="AN60" s="2"/>
      <c r="AO60" s="2"/>
      <c r="AP60" s="2"/>
      <c r="AQ60" s="2"/>
      <c r="AR60" s="2"/>
      <c r="AS60" s="2"/>
      <c r="AT60" s="2"/>
      <c r="AU60" s="2"/>
    </row>
    <row r="61" spans="1:47" ht="14.2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c r="Z61" s="2"/>
      <c r="AA61" s="536"/>
      <c r="AB61" s="45"/>
      <c r="AC61" s="46"/>
      <c r="AD61" s="46"/>
      <c r="AE61" s="54"/>
      <c r="AF61" s="54"/>
      <c r="AG61" s="2"/>
      <c r="AH61" s="2"/>
      <c r="AI61" s="2"/>
      <c r="AJ61" s="2"/>
      <c r="AK61" s="2"/>
      <c r="AL61" s="2"/>
      <c r="AM61" s="2"/>
      <c r="AN61" s="2"/>
      <c r="AO61" s="2"/>
      <c r="AP61" s="2"/>
      <c r="AQ61" s="2"/>
      <c r="AR61" s="2"/>
      <c r="AS61" s="2"/>
      <c r="AT61" s="2"/>
      <c r="AU61" s="2"/>
    </row>
    <row r="62" spans="1:47" ht="18.8" customHeight="1" x14ac:dyDescent="0.3">
      <c r="A62" s="2"/>
      <c r="B62" s="2"/>
      <c r="C62" s="2"/>
      <c r="D62" s="36"/>
      <c r="E62" s="2"/>
      <c r="F62" s="2"/>
      <c r="G62" s="2"/>
      <c r="H62" s="36"/>
      <c r="I62" s="2"/>
      <c r="J62" s="2"/>
      <c r="K62" s="2"/>
      <c r="L62" s="2"/>
      <c r="M62" s="2"/>
      <c r="N62" s="2"/>
      <c r="O62" s="2"/>
      <c r="P62" s="2"/>
      <c r="Q62" s="2"/>
      <c r="R62" s="2"/>
      <c r="S62" s="2"/>
      <c r="T62" s="2"/>
      <c r="U62" s="2"/>
      <c r="V62" s="2"/>
      <c r="W62" s="2"/>
      <c r="X62" s="2"/>
      <c r="Y62" s="2"/>
      <c r="Z62" s="2"/>
      <c r="AA62" s="537"/>
      <c r="AB62" s="45" t="s">
        <v>118</v>
      </c>
      <c r="AC62" s="46">
        <v>75</v>
      </c>
      <c r="AD62" s="46">
        <v>73</v>
      </c>
      <c r="AE62" s="46">
        <v>80</v>
      </c>
      <c r="AF62" s="46">
        <v>60</v>
      </c>
      <c r="AG62" s="2"/>
      <c r="AH62" s="2"/>
      <c r="AI62" s="2"/>
      <c r="AJ62" s="2"/>
      <c r="AK62" s="2"/>
      <c r="AL62" s="2"/>
      <c r="AM62" s="2"/>
      <c r="AN62" s="2"/>
      <c r="AO62" s="2"/>
      <c r="AP62" s="2"/>
      <c r="AQ62" s="2"/>
      <c r="AR62" s="2"/>
      <c r="AS62" s="2"/>
      <c r="AT62" s="2"/>
      <c r="AU62" s="2"/>
    </row>
    <row r="63" spans="1:47" ht="15.05" customHeight="1" x14ac:dyDescent="0.3">
      <c r="A63" s="2"/>
      <c r="B63" s="35"/>
      <c r="C63" s="29"/>
      <c r="D63" s="2"/>
      <c r="E63" s="2"/>
      <c r="F63" s="2"/>
      <c r="G63" s="2"/>
      <c r="H63" s="2"/>
      <c r="I63" s="2"/>
      <c r="J63" s="2"/>
      <c r="K63" s="2"/>
      <c r="L63" s="2"/>
      <c r="M63" s="2"/>
      <c r="N63" s="2"/>
      <c r="O63" s="2"/>
      <c r="P63" s="2"/>
      <c r="Q63" s="2"/>
      <c r="R63" s="2"/>
      <c r="S63" s="2"/>
      <c r="T63" s="2"/>
      <c r="U63" s="2"/>
      <c r="V63" s="2"/>
      <c r="W63" s="2"/>
      <c r="X63" s="2"/>
      <c r="Y63" s="2"/>
      <c r="Z63" s="2"/>
      <c r="AA63" s="539" t="s">
        <v>119</v>
      </c>
      <c r="AB63" s="45" t="s">
        <v>117</v>
      </c>
      <c r="AC63" s="46">
        <v>52</v>
      </c>
      <c r="AD63" s="46">
        <v>25</v>
      </c>
      <c r="AE63" s="47"/>
      <c r="AF63" s="47"/>
      <c r="AG63" s="2"/>
      <c r="AH63" s="2"/>
      <c r="AI63" s="2"/>
      <c r="AJ63" s="2"/>
      <c r="AK63" s="2"/>
      <c r="AL63" s="2"/>
      <c r="AM63" s="2"/>
      <c r="AN63" s="2"/>
      <c r="AO63" s="2"/>
      <c r="AP63" s="2"/>
      <c r="AQ63" s="2"/>
      <c r="AR63" s="2"/>
      <c r="AS63" s="2"/>
      <c r="AT63" s="2"/>
      <c r="AU63" s="2"/>
    </row>
    <row r="64" spans="1:47" ht="21" customHeight="1" x14ac:dyDescent="0.3">
      <c r="A64" s="2"/>
      <c r="B64" s="35"/>
      <c r="C64" s="32"/>
      <c r="D64" s="2"/>
      <c r="E64" s="2"/>
      <c r="F64" s="2"/>
      <c r="G64" s="2"/>
      <c r="H64" s="2"/>
      <c r="I64" s="2"/>
      <c r="J64" s="2"/>
      <c r="K64" s="2"/>
      <c r="L64" s="2"/>
      <c r="M64" s="2"/>
      <c r="N64" s="2"/>
      <c r="O64" s="2"/>
      <c r="P64" s="2"/>
      <c r="Q64" s="2"/>
      <c r="R64" s="2"/>
      <c r="S64" s="2"/>
      <c r="T64" s="2"/>
      <c r="U64" s="2"/>
      <c r="V64" s="2"/>
      <c r="W64" s="2"/>
      <c r="X64" s="2"/>
      <c r="Y64" s="2"/>
      <c r="Z64" s="2"/>
      <c r="AA64" s="537"/>
      <c r="AB64" s="45" t="s">
        <v>118</v>
      </c>
      <c r="AC64" s="46">
        <v>79</v>
      </c>
      <c r="AD64" s="46">
        <v>59</v>
      </c>
      <c r="AE64" s="51">
        <v>70</v>
      </c>
      <c r="AF64" s="55">
        <v>82</v>
      </c>
      <c r="AG64" s="2"/>
      <c r="AH64" s="2"/>
      <c r="AI64" s="2"/>
      <c r="AJ64" s="2"/>
      <c r="AK64" s="2"/>
      <c r="AL64" s="2"/>
      <c r="AM64" s="2"/>
      <c r="AN64" s="2"/>
      <c r="AO64" s="2"/>
      <c r="AP64" s="2"/>
      <c r="AQ64" s="2"/>
      <c r="AR64" s="2"/>
      <c r="AS64" s="2"/>
      <c r="AT64" s="2"/>
      <c r="AU64" s="2"/>
    </row>
    <row r="65" spans="1:47" ht="21" customHeight="1" x14ac:dyDescent="0.3">
      <c r="A65" s="2"/>
      <c r="B65" s="35"/>
      <c r="C65" s="32"/>
      <c r="D65" s="2"/>
      <c r="E65" s="2"/>
      <c r="F65" s="2"/>
      <c r="G65" s="2"/>
      <c r="H65" s="2"/>
      <c r="I65" s="2"/>
      <c r="J65" s="2"/>
      <c r="K65" s="2"/>
      <c r="L65" s="2"/>
      <c r="M65" s="2"/>
      <c r="N65" s="2"/>
      <c r="O65" s="2"/>
      <c r="P65" s="2"/>
      <c r="Q65" s="2"/>
      <c r="R65" s="2"/>
      <c r="S65" s="2"/>
      <c r="T65" s="2"/>
      <c r="U65" s="2"/>
      <c r="V65" s="2"/>
      <c r="W65" s="2"/>
      <c r="X65" s="2"/>
      <c r="Y65" s="2"/>
      <c r="Z65" s="2"/>
      <c r="AA65" s="56"/>
      <c r="AB65" s="45"/>
      <c r="AC65" s="46"/>
      <c r="AD65" s="46"/>
      <c r="AE65" s="51"/>
      <c r="AF65" s="55"/>
      <c r="AG65" s="2"/>
      <c r="AH65" s="2"/>
      <c r="AI65" s="2"/>
      <c r="AJ65" s="2"/>
      <c r="AK65" s="2"/>
      <c r="AL65" s="2"/>
      <c r="AM65" s="2"/>
      <c r="AN65" s="2"/>
      <c r="AO65" s="2"/>
      <c r="AP65" s="2"/>
      <c r="AQ65" s="2"/>
      <c r="AR65" s="2"/>
      <c r="AS65" s="2"/>
      <c r="AT65" s="2"/>
      <c r="AU65" s="2"/>
    </row>
    <row r="66" spans="1:47" ht="15.85" customHeight="1" x14ac:dyDescent="0.3">
      <c r="A66" s="2"/>
      <c r="B66" s="48"/>
      <c r="C66" s="79"/>
      <c r="D66" s="2"/>
      <c r="E66" s="2"/>
      <c r="F66" s="2"/>
      <c r="G66" s="2"/>
      <c r="H66" s="2"/>
      <c r="I66" s="2"/>
      <c r="J66" s="2"/>
      <c r="K66" s="2"/>
      <c r="L66" s="2"/>
      <c r="M66" s="2"/>
      <c r="N66" s="2"/>
      <c r="O66" s="2"/>
      <c r="P66" s="2"/>
      <c r="Q66" s="2"/>
      <c r="R66" s="2"/>
      <c r="S66" s="2"/>
      <c r="T66" s="2"/>
      <c r="U66" s="2"/>
      <c r="V66" s="2"/>
      <c r="W66" s="2"/>
      <c r="X66" s="2"/>
      <c r="Y66" s="2"/>
      <c r="Z66" s="2"/>
      <c r="AA66" s="538" t="s">
        <v>120</v>
      </c>
      <c r="AB66" s="45" t="s">
        <v>117</v>
      </c>
      <c r="AC66" s="46">
        <v>60</v>
      </c>
      <c r="AD66" s="46">
        <v>24</v>
      </c>
      <c r="AE66" s="47"/>
      <c r="AF66" s="47"/>
      <c r="AG66" s="2"/>
      <c r="AH66" s="2"/>
      <c r="AI66" s="2"/>
      <c r="AJ66" s="2"/>
      <c r="AK66" s="2"/>
      <c r="AL66" s="2"/>
      <c r="AM66" s="2"/>
      <c r="AN66" s="2"/>
      <c r="AO66" s="2"/>
      <c r="AP66" s="2"/>
      <c r="AQ66" s="2"/>
      <c r="AR66" s="2"/>
      <c r="AS66" s="2"/>
      <c r="AT66" s="2"/>
      <c r="AU66" s="2"/>
    </row>
    <row r="67" spans="1:47" ht="14.25" customHeight="1" x14ac:dyDescent="0.3">
      <c r="A67" s="2"/>
      <c r="B67" s="2"/>
      <c r="C67" s="25"/>
      <c r="D67" s="2"/>
      <c r="E67" s="2"/>
      <c r="F67" s="2"/>
      <c r="G67" s="2"/>
      <c r="H67" s="2"/>
      <c r="I67" s="2"/>
      <c r="J67" s="2"/>
      <c r="K67" s="2"/>
      <c r="L67" s="2"/>
      <c r="M67" s="2"/>
      <c r="N67" s="2"/>
      <c r="O67" s="2"/>
      <c r="P67" s="2"/>
      <c r="Q67" s="2"/>
      <c r="R67" s="2"/>
      <c r="S67" s="2"/>
      <c r="T67" s="2"/>
      <c r="U67" s="2"/>
      <c r="V67" s="2"/>
      <c r="W67" s="2"/>
      <c r="X67" s="2"/>
      <c r="Y67" s="2"/>
      <c r="Z67" s="2"/>
      <c r="AA67" s="537"/>
      <c r="AB67" s="45" t="s">
        <v>118</v>
      </c>
      <c r="AC67" s="46">
        <v>90</v>
      </c>
      <c r="AD67" s="46">
        <v>60</v>
      </c>
      <c r="AE67" s="45">
        <v>75</v>
      </c>
      <c r="AF67" s="45">
        <v>56</v>
      </c>
      <c r="AG67" s="2"/>
      <c r="AH67" s="2"/>
      <c r="AI67" s="2"/>
      <c r="AJ67" s="2"/>
      <c r="AK67" s="2"/>
      <c r="AL67" s="2"/>
      <c r="AM67" s="2"/>
      <c r="AN67" s="2"/>
      <c r="AO67" s="2"/>
      <c r="AP67" s="2"/>
      <c r="AQ67" s="2"/>
      <c r="AR67" s="2"/>
      <c r="AS67" s="2"/>
      <c r="AT67" s="2"/>
      <c r="AU67" s="2"/>
    </row>
    <row r="68" spans="1:47" ht="14.2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c r="Z68" s="2"/>
      <c r="AA68" s="538" t="s">
        <v>122</v>
      </c>
      <c r="AB68" s="45" t="s">
        <v>117</v>
      </c>
      <c r="AC68" s="46">
        <v>27</v>
      </c>
      <c r="AD68" s="46">
        <v>19</v>
      </c>
      <c r="AE68" s="47"/>
      <c r="AF68" s="47"/>
      <c r="AG68" s="2"/>
      <c r="AH68" s="2"/>
      <c r="AI68" s="2"/>
      <c r="AJ68" s="2"/>
      <c r="AK68" s="2"/>
      <c r="AL68" s="2"/>
      <c r="AM68" s="2"/>
      <c r="AN68" s="2"/>
      <c r="AO68" s="2"/>
      <c r="AP68" s="2"/>
      <c r="AQ68" s="2"/>
      <c r="AR68" s="2"/>
      <c r="AS68" s="2"/>
      <c r="AT68" s="2"/>
      <c r="AU68" s="2"/>
    </row>
    <row r="69" spans="1:47" ht="14.2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c r="Z69" s="2"/>
      <c r="AA69" s="536"/>
      <c r="AB69" s="45"/>
      <c r="AC69" s="46"/>
      <c r="AD69" s="46"/>
      <c r="AE69" s="47"/>
      <c r="AF69" s="47"/>
      <c r="AG69" s="2"/>
      <c r="AH69" s="2"/>
      <c r="AI69" s="2"/>
      <c r="AJ69" s="2"/>
      <c r="AK69" s="2"/>
      <c r="AL69" s="2"/>
      <c r="AM69" s="2"/>
      <c r="AN69" s="2"/>
      <c r="AO69" s="2"/>
      <c r="AP69" s="2"/>
      <c r="AQ69" s="2"/>
      <c r="AR69" s="2"/>
      <c r="AS69" s="2"/>
      <c r="AT69" s="2"/>
      <c r="AU69" s="2"/>
    </row>
    <row r="70" spans="1:47" ht="14.2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c r="Z70" s="2"/>
      <c r="AA70" s="537"/>
      <c r="AB70" s="45" t="s">
        <v>118</v>
      </c>
      <c r="AC70" s="46">
        <v>35</v>
      </c>
      <c r="AD70" s="46">
        <v>24</v>
      </c>
      <c r="AE70" s="45">
        <v>45</v>
      </c>
      <c r="AF70" s="45">
        <v>26</v>
      </c>
      <c r="AG70" s="2"/>
      <c r="AH70" s="2"/>
      <c r="AI70" s="2"/>
      <c r="AJ70" s="2"/>
      <c r="AK70" s="2"/>
      <c r="AL70" s="2"/>
      <c r="AM70" s="2"/>
      <c r="AN70" s="2"/>
      <c r="AO70" s="2"/>
      <c r="AP70" s="2"/>
      <c r="AQ70" s="2"/>
      <c r="AR70" s="2"/>
      <c r="AS70" s="2"/>
      <c r="AT70" s="2"/>
      <c r="AU70" s="2"/>
    </row>
    <row r="71" spans="1:47" ht="14.25" customHeight="1" x14ac:dyDescent="0.3">
      <c r="A71" s="2"/>
      <c r="B71" s="2"/>
      <c r="C71" s="2"/>
      <c r="D71" s="36"/>
      <c r="E71" s="2"/>
      <c r="F71" s="2"/>
      <c r="G71" s="2"/>
      <c r="H71" s="36"/>
      <c r="I71" s="2"/>
      <c r="J71" s="2"/>
      <c r="K71" s="2"/>
      <c r="L71" s="2"/>
      <c r="M71" s="2"/>
      <c r="N71" s="2"/>
      <c r="O71" s="2"/>
      <c r="P71" s="2"/>
      <c r="Q71" s="2"/>
      <c r="R71" s="2"/>
      <c r="S71" s="2"/>
      <c r="T71" s="2"/>
      <c r="U71" s="2"/>
      <c r="V71" s="2"/>
      <c r="W71" s="2"/>
      <c r="X71" s="2"/>
      <c r="Y71" s="2"/>
      <c r="Z71" s="2"/>
      <c r="AA71" s="53"/>
      <c r="AB71" s="45"/>
      <c r="AC71" s="46"/>
      <c r="AD71" s="46"/>
      <c r="AE71" s="45"/>
      <c r="AF71" s="45"/>
      <c r="AG71" s="2"/>
      <c r="AH71" s="2"/>
      <c r="AI71" s="2"/>
      <c r="AJ71" s="2"/>
      <c r="AK71" s="2"/>
      <c r="AL71" s="2"/>
      <c r="AM71" s="2"/>
      <c r="AN71" s="2"/>
      <c r="AO71" s="2"/>
      <c r="AP71" s="2"/>
      <c r="AQ71" s="2"/>
      <c r="AR71" s="2"/>
      <c r="AS71" s="2"/>
      <c r="AT71" s="2"/>
      <c r="AU71" s="2"/>
    </row>
    <row r="72" spans="1:47" ht="14.25" customHeight="1" x14ac:dyDescent="0.3">
      <c r="A72" s="2"/>
      <c r="B72" s="35"/>
      <c r="C72" s="29"/>
      <c r="D72" s="2"/>
      <c r="E72" s="2"/>
      <c r="F72" s="2"/>
      <c r="G72" s="2"/>
      <c r="H72" s="2"/>
      <c r="I72" s="2"/>
      <c r="J72" s="2"/>
      <c r="K72" s="2"/>
      <c r="L72" s="2"/>
      <c r="M72" s="2"/>
      <c r="N72" s="2"/>
      <c r="O72" s="2"/>
      <c r="P72" s="2"/>
      <c r="Q72" s="2"/>
      <c r="R72" s="2"/>
      <c r="S72" s="2"/>
      <c r="T72" s="2"/>
      <c r="U72" s="2"/>
      <c r="V72" s="2"/>
      <c r="W72" s="2"/>
      <c r="X72" s="2"/>
      <c r="Y72" s="2"/>
      <c r="Z72" s="2"/>
      <c r="AA72" s="538" t="s">
        <v>21</v>
      </c>
      <c r="AB72" s="45" t="s">
        <v>117</v>
      </c>
      <c r="AC72" s="46">
        <v>19</v>
      </c>
      <c r="AD72" s="46">
        <v>17</v>
      </c>
      <c r="AE72" s="47"/>
      <c r="AF72" s="47"/>
      <c r="AG72" s="2"/>
      <c r="AH72" s="2"/>
      <c r="AI72" s="2"/>
      <c r="AJ72" s="2"/>
      <c r="AK72" s="2"/>
      <c r="AL72" s="2"/>
      <c r="AM72" s="2"/>
      <c r="AN72" s="2"/>
      <c r="AO72" s="2"/>
      <c r="AP72" s="2"/>
      <c r="AQ72" s="2"/>
      <c r="AR72" s="2"/>
      <c r="AS72" s="2"/>
      <c r="AT72" s="2"/>
      <c r="AU72" s="2"/>
    </row>
    <row r="73" spans="1:47" ht="14.25" customHeight="1" x14ac:dyDescent="0.3">
      <c r="A73" s="2"/>
      <c r="B73" s="35"/>
      <c r="C73" s="32"/>
      <c r="D73" s="2"/>
      <c r="E73" s="2"/>
      <c r="F73" s="2"/>
      <c r="G73" s="2"/>
      <c r="H73" s="2"/>
      <c r="I73" s="2"/>
      <c r="J73" s="2"/>
      <c r="K73" s="2"/>
      <c r="L73" s="2"/>
      <c r="M73" s="2"/>
      <c r="N73" s="2"/>
      <c r="O73" s="2"/>
      <c r="P73" s="2"/>
      <c r="Q73" s="2"/>
      <c r="R73" s="2"/>
      <c r="S73" s="2"/>
      <c r="T73" s="2"/>
      <c r="U73" s="2"/>
      <c r="V73" s="2"/>
      <c r="W73" s="2"/>
      <c r="X73" s="2"/>
      <c r="Y73" s="2"/>
      <c r="Z73" s="2"/>
      <c r="AA73" s="537"/>
      <c r="AB73" s="45" t="s">
        <v>118</v>
      </c>
      <c r="AC73" s="46">
        <v>75</v>
      </c>
      <c r="AD73" s="46">
        <v>50</v>
      </c>
      <c r="AE73" s="59">
        <v>80</v>
      </c>
      <c r="AF73" s="59">
        <v>50</v>
      </c>
      <c r="AG73" s="2"/>
      <c r="AH73" s="2"/>
      <c r="AI73" s="2"/>
      <c r="AJ73" s="2"/>
      <c r="AK73" s="2"/>
      <c r="AL73" s="2"/>
      <c r="AM73" s="2"/>
      <c r="AN73" s="2"/>
      <c r="AO73" s="2"/>
      <c r="AP73" s="2"/>
      <c r="AQ73" s="2"/>
      <c r="AR73" s="2"/>
      <c r="AS73" s="2"/>
      <c r="AT73" s="2"/>
      <c r="AU73" s="2"/>
    </row>
    <row r="74" spans="1:47" ht="14.25" customHeight="1" x14ac:dyDescent="0.3">
      <c r="A74" s="2"/>
      <c r="B74" s="48"/>
      <c r="C74" s="79"/>
      <c r="D74" s="2"/>
      <c r="E74" s="2"/>
      <c r="F74" s="2"/>
      <c r="G74" s="2"/>
      <c r="H74" s="2"/>
      <c r="I74" s="2"/>
      <c r="J74" s="2"/>
      <c r="K74" s="2"/>
      <c r="L74" s="2"/>
      <c r="M74" s="2"/>
      <c r="N74" s="2"/>
      <c r="O74" s="2"/>
      <c r="P74" s="2"/>
      <c r="Q74" s="2"/>
      <c r="R74" s="2"/>
      <c r="S74" s="2"/>
      <c r="T74" s="2"/>
      <c r="U74" s="2"/>
      <c r="V74" s="2"/>
      <c r="W74" s="2"/>
      <c r="X74" s="2"/>
      <c r="Y74" s="2"/>
      <c r="Z74" s="2"/>
      <c r="AA74" s="538" t="s">
        <v>19</v>
      </c>
      <c r="AB74" s="45" t="s">
        <v>117</v>
      </c>
      <c r="AC74" s="46">
        <v>15</v>
      </c>
      <c r="AD74" s="46">
        <v>8</v>
      </c>
      <c r="AE74" s="47"/>
      <c r="AF74" s="47"/>
      <c r="AG74" s="2"/>
      <c r="AH74" s="2"/>
      <c r="AI74" s="2"/>
      <c r="AJ74" s="2"/>
      <c r="AK74" s="2"/>
      <c r="AL74" s="2"/>
      <c r="AM74" s="2"/>
      <c r="AN74" s="2"/>
      <c r="AO74" s="2"/>
      <c r="AP74" s="2"/>
      <c r="AQ74" s="2"/>
      <c r="AR74" s="2"/>
      <c r="AS74" s="2"/>
      <c r="AT74" s="2"/>
      <c r="AU74" s="2"/>
    </row>
    <row r="75" spans="1:47" ht="14.25" customHeight="1" x14ac:dyDescent="0.3">
      <c r="A75" s="2"/>
      <c r="B75" s="48"/>
      <c r="C75" s="79"/>
      <c r="D75" s="2"/>
      <c r="E75" s="2"/>
      <c r="F75" s="2"/>
      <c r="G75" s="2"/>
      <c r="H75" s="2"/>
      <c r="I75" s="2"/>
      <c r="J75" s="2"/>
      <c r="K75" s="2"/>
      <c r="L75" s="2"/>
      <c r="M75" s="2"/>
      <c r="N75" s="2"/>
      <c r="O75" s="2"/>
      <c r="P75" s="2"/>
      <c r="Q75" s="2"/>
      <c r="R75" s="2"/>
      <c r="S75" s="2"/>
      <c r="T75" s="2"/>
      <c r="U75" s="2"/>
      <c r="V75" s="2"/>
      <c r="W75" s="2"/>
      <c r="X75" s="2"/>
      <c r="Y75" s="2"/>
      <c r="Z75" s="2"/>
      <c r="AA75" s="536"/>
      <c r="AB75" s="45"/>
      <c r="AC75" s="46"/>
      <c r="AD75" s="46"/>
      <c r="AE75" s="47"/>
      <c r="AF75" s="47"/>
      <c r="AG75" s="2"/>
      <c r="AH75" s="2"/>
      <c r="AI75" s="2"/>
      <c r="AJ75" s="2"/>
      <c r="AK75" s="2"/>
      <c r="AL75" s="2"/>
      <c r="AM75" s="2"/>
      <c r="AN75" s="2"/>
      <c r="AO75" s="2"/>
      <c r="AP75" s="2"/>
      <c r="AQ75" s="2"/>
      <c r="AR75" s="2"/>
      <c r="AS75" s="2"/>
      <c r="AT75" s="2"/>
      <c r="AU75" s="2"/>
    </row>
    <row r="76" spans="1:47" ht="14.2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c r="Z76" s="2"/>
      <c r="AA76" s="537"/>
      <c r="AB76" s="45" t="s">
        <v>118</v>
      </c>
      <c r="AC76" s="46">
        <v>29</v>
      </c>
      <c r="AD76" s="46">
        <v>19</v>
      </c>
      <c r="AE76" s="59">
        <v>20</v>
      </c>
      <c r="AF76" s="60">
        <v>25</v>
      </c>
      <c r="AG76" s="2"/>
      <c r="AH76" s="2"/>
      <c r="AI76" s="2"/>
      <c r="AJ76" s="2"/>
      <c r="AK76" s="2"/>
      <c r="AL76" s="2"/>
      <c r="AM76" s="2"/>
      <c r="AN76" s="2"/>
      <c r="AO76" s="2"/>
      <c r="AP76" s="2"/>
      <c r="AQ76" s="2"/>
      <c r="AR76" s="2"/>
      <c r="AS76" s="2"/>
      <c r="AT76" s="2"/>
      <c r="AU76" s="2"/>
    </row>
    <row r="77" spans="1:47" ht="13.5" customHeight="1" x14ac:dyDescent="0.3">
      <c r="A77" s="2"/>
      <c r="B77" s="35"/>
      <c r="C77" s="25"/>
      <c r="D77" s="2"/>
      <c r="E77" s="2"/>
      <c r="F77" s="2"/>
      <c r="G77" s="2"/>
      <c r="H77" s="2"/>
      <c r="I77" s="2"/>
      <c r="J77" s="1"/>
      <c r="K77" s="1"/>
      <c r="L77" s="2"/>
      <c r="M77" s="2"/>
      <c r="N77" s="2"/>
      <c r="O77" s="2"/>
      <c r="P77" s="2"/>
      <c r="Q77" s="2"/>
      <c r="R77" s="2"/>
      <c r="S77" s="2"/>
      <c r="T77" s="2"/>
      <c r="U77" s="2"/>
      <c r="V77" s="2"/>
      <c r="W77" s="2"/>
      <c r="X77" s="2"/>
      <c r="Y77" s="2"/>
      <c r="Z77" s="2"/>
      <c r="AA77" s="540" t="s">
        <v>125</v>
      </c>
      <c r="AB77" s="45" t="s">
        <v>117</v>
      </c>
      <c r="AC77" s="46">
        <v>14</v>
      </c>
      <c r="AD77" s="46">
        <v>13</v>
      </c>
      <c r="AE77" s="47"/>
      <c r="AF77" s="47"/>
      <c r="AG77" s="2"/>
      <c r="AH77" s="2"/>
      <c r="AI77" s="2"/>
      <c r="AJ77" s="2"/>
      <c r="AK77" s="2"/>
      <c r="AL77" s="2"/>
      <c r="AM77" s="2"/>
      <c r="AN77" s="2"/>
      <c r="AO77" s="2"/>
      <c r="AP77" s="2"/>
      <c r="AQ77" s="2"/>
      <c r="AR77" s="2"/>
      <c r="AS77" s="2"/>
      <c r="AT77" s="2"/>
      <c r="AU77" s="2"/>
    </row>
    <row r="78" spans="1:47" ht="21.8" customHeight="1" x14ac:dyDescent="0.3">
      <c r="A78" s="2"/>
      <c r="B78" s="35"/>
      <c r="C78" s="2"/>
      <c r="D78" s="2"/>
      <c r="E78" s="2"/>
      <c r="F78" s="2"/>
      <c r="G78" s="2"/>
      <c r="H78" s="2"/>
      <c r="I78" s="2"/>
      <c r="J78" s="2"/>
      <c r="K78" s="2"/>
      <c r="L78" s="2"/>
      <c r="M78" s="2"/>
      <c r="N78" s="2"/>
      <c r="O78" s="2"/>
      <c r="P78" s="2"/>
      <c r="Q78" s="2"/>
      <c r="R78" s="2"/>
      <c r="S78" s="2"/>
      <c r="T78" s="2"/>
      <c r="U78" s="2"/>
      <c r="V78" s="2"/>
      <c r="W78" s="2"/>
      <c r="X78" s="2"/>
      <c r="Y78" s="2"/>
      <c r="Z78" s="2"/>
      <c r="AA78" s="537"/>
      <c r="AB78" s="45" t="s">
        <v>118</v>
      </c>
      <c r="AC78" s="46">
        <v>33</v>
      </c>
      <c r="AD78" s="46">
        <v>15</v>
      </c>
      <c r="AE78" s="59">
        <v>20</v>
      </c>
      <c r="AF78" s="60">
        <v>23</v>
      </c>
      <c r="AG78" s="2"/>
      <c r="AH78" s="2"/>
      <c r="AI78" s="2"/>
      <c r="AJ78" s="2"/>
      <c r="AK78" s="2"/>
      <c r="AL78" s="2"/>
      <c r="AM78" s="2"/>
      <c r="AN78" s="2"/>
      <c r="AO78" s="2"/>
      <c r="AP78" s="2"/>
      <c r="AQ78" s="2"/>
      <c r="AR78" s="2"/>
      <c r="AS78" s="2"/>
      <c r="AT78" s="2"/>
      <c r="AU78" s="2"/>
    </row>
    <row r="79" spans="1:47" ht="21.8" customHeight="1" x14ac:dyDescent="0.3">
      <c r="A79" s="2"/>
      <c r="B79" s="35"/>
      <c r="C79" s="2"/>
      <c r="D79" s="2"/>
      <c r="E79" s="2"/>
      <c r="F79" s="2"/>
      <c r="G79" s="2"/>
      <c r="H79" s="2"/>
      <c r="I79" s="2"/>
      <c r="J79" s="2"/>
      <c r="K79" s="2"/>
      <c r="L79" s="2"/>
      <c r="M79" s="2"/>
      <c r="N79" s="2"/>
      <c r="O79" s="2"/>
      <c r="P79" s="2"/>
      <c r="Q79" s="2"/>
      <c r="R79" s="2"/>
      <c r="S79" s="2"/>
      <c r="T79" s="2"/>
      <c r="U79" s="2"/>
      <c r="V79" s="2"/>
      <c r="W79" s="2"/>
      <c r="X79" s="2"/>
      <c r="Y79" s="2"/>
      <c r="Z79" s="2"/>
      <c r="AA79" s="61"/>
      <c r="AB79" s="62"/>
      <c r="AC79" s="3"/>
      <c r="AD79" s="3"/>
      <c r="AE79" s="63"/>
      <c r="AF79" s="64"/>
      <c r="AG79" s="2"/>
      <c r="AH79" s="2"/>
      <c r="AI79" s="2"/>
      <c r="AJ79" s="2"/>
      <c r="AK79" s="2"/>
      <c r="AL79" s="2"/>
      <c r="AM79" s="2"/>
      <c r="AN79" s="2"/>
      <c r="AO79" s="2"/>
      <c r="AP79" s="2"/>
      <c r="AQ79" s="2"/>
      <c r="AR79" s="2"/>
      <c r="AS79" s="2"/>
      <c r="AT79" s="2"/>
      <c r="AU79" s="2"/>
    </row>
    <row r="80" spans="1:47" ht="14.25" customHeight="1" x14ac:dyDescent="0.3">
      <c r="A80" s="2"/>
      <c r="B80" s="2"/>
      <c r="C80" s="32"/>
      <c r="D80" s="36"/>
      <c r="E80" s="2"/>
      <c r="F80" s="2"/>
      <c r="G80" s="2"/>
      <c r="H80" s="36"/>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row>
    <row r="81" spans="1:47" ht="14.25" customHeight="1" x14ac:dyDescent="0.3">
      <c r="A81" s="2"/>
      <c r="B81" s="2"/>
      <c r="C81" s="32"/>
      <c r="D81" s="36"/>
      <c r="E81" s="2"/>
      <c r="F81" s="2"/>
      <c r="G81" s="2"/>
      <c r="H81" s="36"/>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row>
    <row r="82" spans="1:47" ht="21" customHeight="1" x14ac:dyDescent="0.3">
      <c r="A82" s="2"/>
      <c r="B82" s="35"/>
      <c r="C82" s="3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row>
    <row r="83" spans="1:47" ht="14.25" customHeight="1" x14ac:dyDescent="0.3">
      <c r="A83" s="2"/>
      <c r="B83" s="35"/>
      <c r="C83" s="3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row>
    <row r="84" spans="1:47" ht="14.25" customHeight="1" x14ac:dyDescent="0.3">
      <c r="A84" s="2"/>
      <c r="B84" s="48"/>
      <c r="C84" s="79"/>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row>
    <row r="85" spans="1:47" ht="14.25" customHeight="1" x14ac:dyDescent="0.3">
      <c r="A85" s="2"/>
      <c r="B85" s="48"/>
      <c r="C85" s="79"/>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row>
    <row r="86" spans="1:47" ht="14.2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row>
    <row r="87" spans="1:47" ht="14.2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row>
    <row r="88" spans="1:47" ht="14.2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row>
    <row r="89" spans="1:47" ht="14.2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row>
    <row r="90" spans="1:47" ht="14.2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row>
    <row r="91" spans="1:47" ht="14.2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row>
    <row r="92" spans="1:47" ht="14.2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row>
    <row r="93" spans="1:47" ht="14.2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row>
    <row r="94" spans="1:47" ht="14.2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row>
    <row r="95" spans="1:47" ht="14.2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row>
    <row r="96" spans="1:47" ht="14.2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row>
    <row r="97" spans="1:47" ht="14.2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row>
    <row r="98" spans="1:47" ht="14.2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row>
    <row r="99" spans="1:47" ht="14.2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row>
    <row r="100" spans="1:47" ht="14.2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row>
    <row r="101" spans="1:47" ht="14.2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row>
    <row r="102" spans="1:47" ht="30.05" customHeight="1" x14ac:dyDescent="0.3">
      <c r="A102" s="2"/>
      <c r="B102" s="35"/>
      <c r="C102" s="25"/>
      <c r="D102" s="2"/>
      <c r="E102" s="2"/>
      <c r="F102" s="2"/>
      <c r="G102" s="2"/>
      <c r="H102" s="2"/>
      <c r="I102" s="2"/>
      <c r="J102" s="1"/>
      <c r="K102" s="1"/>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row>
    <row r="103" spans="1:47" ht="14.25" customHeight="1" x14ac:dyDescent="0.3">
      <c r="A103" s="2"/>
      <c r="B103" s="35"/>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row>
    <row r="104" spans="1:47" ht="14.25" customHeight="1" x14ac:dyDescent="0.3">
      <c r="A104" s="2"/>
      <c r="B104" s="2"/>
      <c r="C104" s="2"/>
      <c r="D104" s="36"/>
      <c r="E104" s="2"/>
      <c r="F104" s="2"/>
      <c r="G104" s="2"/>
      <c r="H104" s="36"/>
      <c r="I104" s="2"/>
      <c r="J104" s="2"/>
      <c r="K104" s="2"/>
      <c r="L104" s="2"/>
      <c r="M104" s="2"/>
      <c r="N104" s="2"/>
      <c r="O104" s="2"/>
      <c r="P104" s="2"/>
      <c r="Q104" s="2"/>
      <c r="R104" s="2"/>
      <c r="S104" s="2"/>
      <c r="T104" s="2"/>
      <c r="U104" s="2"/>
      <c r="V104" s="2"/>
      <c r="W104" s="2"/>
      <c r="X104" s="2"/>
      <c r="Y104" s="2"/>
      <c r="Z104" s="2"/>
      <c r="AA104" s="37" t="s">
        <v>162</v>
      </c>
      <c r="AB104" s="38"/>
      <c r="AC104" s="38"/>
      <c r="AD104" s="38"/>
      <c r="AE104" s="38"/>
      <c r="AF104" s="38"/>
      <c r="AG104" s="2"/>
      <c r="AH104" s="2"/>
      <c r="AI104" s="2"/>
      <c r="AJ104" s="2"/>
      <c r="AK104" s="2"/>
      <c r="AL104" s="2"/>
      <c r="AM104" s="2"/>
      <c r="AN104" s="2"/>
      <c r="AO104" s="2"/>
      <c r="AP104" s="2"/>
      <c r="AQ104" s="2"/>
      <c r="AR104" s="2"/>
      <c r="AS104" s="2"/>
      <c r="AT104" s="2"/>
      <c r="AU104" s="2"/>
    </row>
    <row r="105" spans="1:47" ht="14.25" customHeight="1" x14ac:dyDescent="0.3">
      <c r="A105" s="2"/>
      <c r="B105" s="35"/>
      <c r="C105" s="29"/>
      <c r="D105" s="2"/>
      <c r="E105" s="2"/>
      <c r="F105" s="2"/>
      <c r="G105" s="2"/>
      <c r="H105" s="2"/>
      <c r="I105" s="2"/>
      <c r="J105" s="2"/>
      <c r="K105" s="2"/>
      <c r="L105" s="2"/>
      <c r="M105" s="2"/>
      <c r="N105" s="2"/>
      <c r="O105" s="2"/>
      <c r="P105" s="2"/>
      <c r="Q105" s="2"/>
      <c r="R105" s="2"/>
      <c r="S105" s="2"/>
      <c r="T105" s="2"/>
      <c r="U105" s="2"/>
      <c r="V105" s="2"/>
      <c r="W105" s="2"/>
      <c r="X105" s="2"/>
      <c r="Y105" s="2"/>
      <c r="Z105" s="2"/>
      <c r="AA105" s="41" t="s">
        <v>0</v>
      </c>
      <c r="AB105" s="42" t="s">
        <v>115</v>
      </c>
      <c r="AC105" s="42" t="s">
        <v>107</v>
      </c>
      <c r="AD105" s="42" t="s">
        <v>108</v>
      </c>
      <c r="AE105" s="42" t="s">
        <v>109</v>
      </c>
      <c r="AF105" s="42" t="s">
        <v>53</v>
      </c>
      <c r="AG105" s="2"/>
      <c r="AH105" s="2"/>
      <c r="AI105" s="2"/>
      <c r="AJ105" s="2"/>
      <c r="AK105" s="2"/>
      <c r="AL105" s="2"/>
      <c r="AM105" s="2"/>
      <c r="AN105" s="2"/>
      <c r="AO105" s="2"/>
      <c r="AP105" s="2"/>
      <c r="AQ105" s="2"/>
      <c r="AR105" s="2"/>
      <c r="AS105" s="2"/>
      <c r="AT105" s="2"/>
      <c r="AU105" s="2"/>
    </row>
    <row r="106" spans="1:47" ht="14.25" customHeight="1" x14ac:dyDescent="0.3">
      <c r="A106" s="2"/>
      <c r="B106" s="35"/>
      <c r="C106" s="29"/>
      <c r="D106" s="2"/>
      <c r="E106" s="2"/>
      <c r="F106" s="2"/>
      <c r="G106" s="2"/>
      <c r="H106" s="2"/>
      <c r="I106" s="2"/>
      <c r="J106" s="2"/>
      <c r="K106" s="2"/>
      <c r="L106" s="2"/>
      <c r="M106" s="2"/>
      <c r="N106" s="2"/>
      <c r="O106" s="2"/>
      <c r="P106" s="2"/>
      <c r="Q106" s="2"/>
      <c r="R106" s="2"/>
      <c r="S106" s="2"/>
      <c r="T106" s="2"/>
      <c r="U106" s="2"/>
      <c r="V106" s="2"/>
      <c r="W106" s="2"/>
      <c r="X106" s="2"/>
      <c r="Y106" s="2"/>
      <c r="Z106" s="2"/>
      <c r="AA106" s="43"/>
      <c r="AB106" s="42"/>
      <c r="AC106" s="42"/>
      <c r="AD106" s="42"/>
      <c r="AE106" s="42"/>
      <c r="AF106" s="42"/>
      <c r="AG106" s="2"/>
      <c r="AH106" s="2"/>
      <c r="AI106" s="2"/>
      <c r="AJ106" s="2"/>
      <c r="AK106" s="2"/>
      <c r="AL106" s="2"/>
      <c r="AM106" s="2"/>
      <c r="AN106" s="2"/>
      <c r="AO106" s="2"/>
      <c r="AP106" s="2"/>
      <c r="AQ106" s="2"/>
      <c r="AR106" s="2"/>
      <c r="AS106" s="2"/>
      <c r="AT106" s="2"/>
      <c r="AU106" s="2"/>
    </row>
    <row r="107" spans="1:47" ht="14.25" customHeight="1" x14ac:dyDescent="0.3">
      <c r="A107" s="2"/>
      <c r="B107" s="35"/>
      <c r="C107" s="32"/>
      <c r="D107" s="2"/>
      <c r="E107" s="2"/>
      <c r="F107" s="2"/>
      <c r="G107" s="2"/>
      <c r="H107" s="2"/>
      <c r="I107" s="2"/>
      <c r="J107" s="2"/>
      <c r="K107" s="2"/>
      <c r="L107" s="2"/>
      <c r="M107" s="2"/>
      <c r="N107" s="2"/>
      <c r="O107" s="2"/>
      <c r="P107" s="2"/>
      <c r="Q107" s="2"/>
      <c r="R107" s="2"/>
      <c r="S107" s="2"/>
      <c r="T107" s="2"/>
      <c r="U107" s="2"/>
      <c r="V107" s="2"/>
      <c r="W107" s="44"/>
      <c r="X107" s="2"/>
      <c r="Y107" s="2"/>
      <c r="Z107" s="2"/>
      <c r="AA107" s="535" t="s">
        <v>116</v>
      </c>
      <c r="AB107" s="45" t="s">
        <v>117</v>
      </c>
      <c r="AC107" s="46">
        <v>12</v>
      </c>
      <c r="AD107" s="46">
        <v>13</v>
      </c>
      <c r="AE107" s="47"/>
      <c r="AF107" s="47"/>
      <c r="AG107" s="2"/>
      <c r="AH107" s="2"/>
      <c r="AI107" s="2"/>
      <c r="AJ107" s="2"/>
      <c r="AK107" s="2"/>
      <c r="AL107" s="2"/>
      <c r="AM107" s="2"/>
      <c r="AN107" s="2"/>
      <c r="AO107" s="2"/>
      <c r="AP107" s="2"/>
      <c r="AQ107" s="2"/>
      <c r="AR107" s="2"/>
      <c r="AS107" s="2"/>
      <c r="AT107" s="2"/>
      <c r="AU107" s="2"/>
    </row>
    <row r="108" spans="1:47" ht="14.25" customHeight="1" x14ac:dyDescent="0.3">
      <c r="A108" s="2"/>
      <c r="B108" s="48"/>
      <c r="C108" s="79"/>
      <c r="D108" s="2"/>
      <c r="E108" s="2"/>
      <c r="F108" s="2"/>
      <c r="G108" s="2"/>
      <c r="H108" s="2"/>
      <c r="I108" s="2"/>
      <c r="J108" s="2"/>
      <c r="K108" s="2"/>
      <c r="L108" s="2"/>
      <c r="M108" s="2"/>
      <c r="N108" s="2"/>
      <c r="O108" s="2"/>
      <c r="P108" s="2"/>
      <c r="Q108" s="2"/>
      <c r="R108" s="2"/>
      <c r="S108" s="2"/>
      <c r="T108" s="2"/>
      <c r="U108" s="2"/>
      <c r="V108" s="2"/>
      <c r="W108" s="2"/>
      <c r="X108" s="2"/>
      <c r="Y108" s="2"/>
      <c r="Z108" s="2"/>
      <c r="AA108" s="536"/>
      <c r="AB108" s="45"/>
      <c r="AC108" s="46"/>
      <c r="AD108" s="46"/>
      <c r="AE108" s="47"/>
      <c r="AF108" s="47"/>
      <c r="AG108" s="2"/>
      <c r="AH108" s="2"/>
      <c r="AI108" s="2"/>
      <c r="AJ108" s="2"/>
      <c r="AK108" s="2"/>
      <c r="AL108" s="2"/>
      <c r="AM108" s="2"/>
      <c r="AN108" s="2"/>
      <c r="AO108" s="2"/>
      <c r="AP108" s="2"/>
      <c r="AQ108" s="2"/>
      <c r="AR108" s="2"/>
      <c r="AS108" s="2"/>
      <c r="AT108" s="2"/>
      <c r="AU108" s="2"/>
    </row>
    <row r="109" spans="1:47" ht="14.25" customHeight="1" x14ac:dyDescent="0.3">
      <c r="A109" s="2"/>
      <c r="B109" s="2"/>
      <c r="C109" s="25"/>
      <c r="D109" s="2"/>
      <c r="E109" s="2"/>
      <c r="F109" s="2"/>
      <c r="G109" s="2"/>
      <c r="H109" s="2"/>
      <c r="I109" s="2"/>
      <c r="J109" s="2"/>
      <c r="K109" s="2"/>
      <c r="L109" s="2"/>
      <c r="M109" s="2"/>
      <c r="N109" s="2"/>
      <c r="O109" s="2"/>
      <c r="P109" s="2"/>
      <c r="Q109" s="2"/>
      <c r="R109" s="2"/>
      <c r="S109" s="2"/>
      <c r="T109" s="2"/>
      <c r="U109" s="2"/>
      <c r="V109" s="2"/>
      <c r="W109" s="2"/>
      <c r="X109" s="2"/>
      <c r="Y109" s="2"/>
      <c r="Z109" s="2"/>
      <c r="AA109" s="537"/>
      <c r="AB109" s="45" t="s">
        <v>118</v>
      </c>
      <c r="AC109" s="46">
        <v>21</v>
      </c>
      <c r="AD109" s="46">
        <v>34</v>
      </c>
      <c r="AE109" s="51">
        <v>20</v>
      </c>
      <c r="AF109" s="52">
        <v>31</v>
      </c>
      <c r="AG109" s="2"/>
      <c r="AH109" s="2"/>
      <c r="AI109" s="2"/>
      <c r="AJ109" s="2"/>
      <c r="AK109" s="2"/>
      <c r="AL109" s="2"/>
      <c r="AM109" s="2"/>
      <c r="AN109" s="2"/>
      <c r="AO109" s="2"/>
      <c r="AP109" s="2"/>
      <c r="AQ109" s="2"/>
      <c r="AR109" s="2"/>
      <c r="AS109" s="2"/>
      <c r="AT109" s="2"/>
      <c r="AU109" s="2"/>
    </row>
    <row r="110" spans="1:47" ht="14.25" customHeight="1" x14ac:dyDescent="0.3">
      <c r="A110" s="2"/>
      <c r="B110" s="2"/>
      <c r="C110" s="25"/>
      <c r="D110" s="2"/>
      <c r="E110" s="2"/>
      <c r="F110" s="2"/>
      <c r="G110" s="2"/>
      <c r="H110" s="2"/>
      <c r="I110" s="2"/>
      <c r="J110" s="2"/>
      <c r="K110" s="2"/>
      <c r="L110" s="2"/>
      <c r="M110" s="2"/>
      <c r="N110" s="2"/>
      <c r="O110" s="2"/>
      <c r="P110" s="2"/>
      <c r="Q110" s="2"/>
      <c r="R110" s="2"/>
      <c r="S110" s="2"/>
      <c r="T110" s="2"/>
      <c r="U110" s="2"/>
      <c r="V110" s="2"/>
      <c r="W110" s="2"/>
      <c r="X110" s="2"/>
      <c r="Y110" s="2"/>
      <c r="Z110" s="2"/>
      <c r="AA110" s="53"/>
      <c r="AB110" s="45"/>
      <c r="AC110" s="46"/>
      <c r="AD110" s="46"/>
      <c r="AE110" s="51"/>
      <c r="AF110" s="52"/>
      <c r="AG110" s="2"/>
      <c r="AH110" s="2"/>
      <c r="AI110" s="2"/>
      <c r="AJ110" s="2"/>
      <c r="AK110" s="2"/>
      <c r="AL110" s="2"/>
      <c r="AM110" s="2"/>
      <c r="AN110" s="2"/>
      <c r="AO110" s="2"/>
      <c r="AP110" s="2"/>
      <c r="AQ110" s="2"/>
      <c r="AR110" s="2"/>
      <c r="AS110" s="2"/>
      <c r="AT110" s="2"/>
      <c r="AU110" s="2"/>
    </row>
    <row r="111" spans="1:47" ht="14.25" customHeight="1" x14ac:dyDescent="0.3">
      <c r="A111" s="2"/>
      <c r="B111" s="2"/>
      <c r="C111" s="25"/>
      <c r="D111" s="2"/>
      <c r="E111" s="2"/>
      <c r="F111" s="2"/>
      <c r="G111" s="2"/>
      <c r="H111" s="2"/>
      <c r="I111" s="2"/>
      <c r="J111" s="2"/>
      <c r="K111" s="2"/>
      <c r="L111" s="2"/>
      <c r="M111" s="2"/>
      <c r="N111" s="2"/>
      <c r="O111" s="2"/>
      <c r="P111" s="2"/>
      <c r="Q111" s="2"/>
      <c r="R111" s="2"/>
      <c r="S111" s="2"/>
      <c r="T111" s="2"/>
      <c r="U111" s="2"/>
      <c r="V111" s="2"/>
      <c r="W111" s="2"/>
      <c r="X111" s="2"/>
      <c r="Y111" s="2"/>
      <c r="Z111" s="2"/>
      <c r="AA111" s="538" t="s">
        <v>4</v>
      </c>
      <c r="AB111" s="45" t="s">
        <v>117</v>
      </c>
      <c r="AC111" s="46">
        <v>40</v>
      </c>
      <c r="AD111" s="46">
        <v>37</v>
      </c>
      <c r="AE111" s="54"/>
      <c r="AF111" s="54"/>
      <c r="AG111" s="2"/>
      <c r="AH111" s="2"/>
      <c r="AI111" s="2"/>
      <c r="AJ111" s="2"/>
      <c r="AK111" s="2"/>
      <c r="AL111" s="2"/>
      <c r="AM111" s="2"/>
      <c r="AN111" s="2"/>
      <c r="AO111" s="2"/>
      <c r="AP111" s="2"/>
      <c r="AQ111" s="2"/>
      <c r="AR111" s="2"/>
      <c r="AS111" s="2"/>
      <c r="AT111" s="2"/>
      <c r="AU111" s="2"/>
    </row>
    <row r="112" spans="1:47" ht="14.2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536"/>
      <c r="AB112" s="45"/>
      <c r="AC112" s="46"/>
      <c r="AD112" s="46"/>
      <c r="AE112" s="54"/>
      <c r="AF112" s="54"/>
      <c r="AG112" s="2"/>
      <c r="AH112" s="2"/>
      <c r="AI112" s="2"/>
      <c r="AJ112" s="2"/>
      <c r="AK112" s="2"/>
      <c r="AL112" s="2"/>
      <c r="AM112" s="2"/>
      <c r="AN112" s="2"/>
      <c r="AO112" s="2"/>
      <c r="AP112" s="2"/>
      <c r="AQ112" s="2"/>
      <c r="AR112" s="2"/>
      <c r="AS112" s="2"/>
      <c r="AT112" s="2"/>
      <c r="AU112" s="2"/>
    </row>
    <row r="113" spans="1:47" ht="18.8" customHeight="1" x14ac:dyDescent="0.3">
      <c r="A113" s="2"/>
      <c r="B113" s="2"/>
      <c r="C113" s="2"/>
      <c r="D113" s="36"/>
      <c r="E113" s="2"/>
      <c r="F113" s="2"/>
      <c r="G113" s="2"/>
      <c r="H113" s="36"/>
      <c r="I113" s="2"/>
      <c r="J113" s="2"/>
      <c r="K113" s="2"/>
      <c r="L113" s="2"/>
      <c r="M113" s="2"/>
      <c r="N113" s="2"/>
      <c r="O113" s="2"/>
      <c r="P113" s="2"/>
      <c r="Q113" s="2"/>
      <c r="R113" s="2"/>
      <c r="S113" s="2"/>
      <c r="T113" s="2"/>
      <c r="U113" s="2"/>
      <c r="V113" s="2"/>
      <c r="W113" s="2"/>
      <c r="X113" s="2"/>
      <c r="Y113" s="2"/>
      <c r="Z113" s="2"/>
      <c r="AA113" s="537"/>
      <c r="AB113" s="45" t="s">
        <v>118</v>
      </c>
      <c r="AC113" s="46">
        <v>75</v>
      </c>
      <c r="AD113" s="46">
        <v>73</v>
      </c>
      <c r="AE113" s="46">
        <v>80</v>
      </c>
      <c r="AF113" s="46">
        <v>60</v>
      </c>
      <c r="AG113" s="2"/>
      <c r="AH113" s="2"/>
      <c r="AI113" s="2"/>
      <c r="AJ113" s="2"/>
      <c r="AK113" s="2"/>
      <c r="AL113" s="2"/>
      <c r="AM113" s="2"/>
      <c r="AN113" s="2"/>
      <c r="AO113" s="2"/>
      <c r="AP113" s="2"/>
      <c r="AQ113" s="2"/>
      <c r="AR113" s="2"/>
      <c r="AS113" s="2"/>
      <c r="AT113" s="2"/>
      <c r="AU113" s="2"/>
    </row>
    <row r="114" spans="1:47" ht="15.05" customHeight="1" x14ac:dyDescent="0.3">
      <c r="A114" s="2"/>
      <c r="B114" s="35"/>
      <c r="C114" s="29"/>
      <c r="D114" s="2"/>
      <c r="E114" s="2"/>
      <c r="F114" s="2"/>
      <c r="G114" s="2"/>
      <c r="H114" s="2"/>
      <c r="I114" s="2"/>
      <c r="J114" s="2"/>
      <c r="K114" s="2"/>
      <c r="L114" s="2"/>
      <c r="M114" s="2"/>
      <c r="N114" s="2"/>
      <c r="O114" s="2"/>
      <c r="P114" s="2"/>
      <c r="Q114" s="2"/>
      <c r="R114" s="2"/>
      <c r="S114" s="2"/>
      <c r="T114" s="2"/>
      <c r="U114" s="2"/>
      <c r="V114" s="2"/>
      <c r="W114" s="2"/>
      <c r="X114" s="2"/>
      <c r="Y114" s="2"/>
      <c r="Z114" s="2"/>
      <c r="AA114" s="539" t="s">
        <v>119</v>
      </c>
      <c r="AB114" s="45" t="s">
        <v>117</v>
      </c>
      <c r="AC114" s="46">
        <v>52</v>
      </c>
      <c r="AD114" s="46">
        <v>25</v>
      </c>
      <c r="AE114" s="47"/>
      <c r="AF114" s="47"/>
      <c r="AG114" s="2"/>
      <c r="AH114" s="2"/>
      <c r="AI114" s="2"/>
      <c r="AJ114" s="2"/>
      <c r="AK114" s="2"/>
      <c r="AL114" s="2"/>
      <c r="AM114" s="2"/>
      <c r="AN114" s="2"/>
      <c r="AO114" s="2"/>
      <c r="AP114" s="2"/>
      <c r="AQ114" s="2"/>
      <c r="AR114" s="2"/>
      <c r="AS114" s="2"/>
      <c r="AT114" s="2"/>
      <c r="AU114" s="2"/>
    </row>
    <row r="115" spans="1:47" ht="21" customHeight="1" x14ac:dyDescent="0.3">
      <c r="A115" s="2"/>
      <c r="B115" s="35"/>
      <c r="C115" s="32"/>
      <c r="D115" s="2"/>
      <c r="E115" s="2"/>
      <c r="F115" s="2"/>
      <c r="G115" s="2"/>
      <c r="H115" s="2"/>
      <c r="I115" s="2"/>
      <c r="J115" s="2"/>
      <c r="K115" s="2"/>
      <c r="L115" s="2"/>
      <c r="M115" s="2"/>
      <c r="N115" s="2"/>
      <c r="O115" s="2"/>
      <c r="P115" s="2"/>
      <c r="Q115" s="2"/>
      <c r="R115" s="2"/>
      <c r="S115" s="2"/>
      <c r="T115" s="2"/>
      <c r="U115" s="2"/>
      <c r="V115" s="2"/>
      <c r="W115" s="2"/>
      <c r="X115" s="2"/>
      <c r="Y115" s="2"/>
      <c r="Z115" s="2"/>
      <c r="AA115" s="537"/>
      <c r="AB115" s="45" t="s">
        <v>118</v>
      </c>
      <c r="AC115" s="46">
        <v>79</v>
      </c>
      <c r="AD115" s="46">
        <v>59</v>
      </c>
      <c r="AE115" s="51">
        <v>70</v>
      </c>
      <c r="AF115" s="55">
        <v>82</v>
      </c>
      <c r="AG115" s="2"/>
      <c r="AH115" s="2"/>
      <c r="AI115" s="2"/>
      <c r="AJ115" s="2"/>
      <c r="AK115" s="2"/>
      <c r="AL115" s="2"/>
      <c r="AM115" s="2"/>
      <c r="AN115" s="2"/>
      <c r="AO115" s="2"/>
      <c r="AP115" s="2"/>
      <c r="AQ115" s="2"/>
      <c r="AR115" s="2"/>
      <c r="AS115" s="2"/>
      <c r="AT115" s="2"/>
      <c r="AU115" s="2"/>
    </row>
    <row r="116" spans="1:47" ht="21" customHeight="1" x14ac:dyDescent="0.3">
      <c r="A116" s="2"/>
      <c r="B116" s="35"/>
      <c r="C116" s="32"/>
      <c r="D116" s="2"/>
      <c r="E116" s="2"/>
      <c r="F116" s="2"/>
      <c r="G116" s="2"/>
      <c r="H116" s="2"/>
      <c r="I116" s="2"/>
      <c r="J116" s="2"/>
      <c r="K116" s="2"/>
      <c r="L116" s="2"/>
      <c r="M116" s="2"/>
      <c r="N116" s="2"/>
      <c r="O116" s="2"/>
      <c r="P116" s="2"/>
      <c r="Q116" s="2"/>
      <c r="R116" s="2"/>
      <c r="S116" s="2"/>
      <c r="T116" s="2"/>
      <c r="U116" s="2"/>
      <c r="V116" s="2"/>
      <c r="W116" s="2"/>
      <c r="X116" s="2"/>
      <c r="Y116" s="2"/>
      <c r="Z116" s="2"/>
      <c r="AA116" s="56"/>
      <c r="AB116" s="45"/>
      <c r="AC116" s="46"/>
      <c r="AD116" s="46"/>
      <c r="AE116" s="51"/>
      <c r="AF116" s="55"/>
      <c r="AG116" s="2"/>
      <c r="AH116" s="2"/>
      <c r="AI116" s="2"/>
      <c r="AJ116" s="2"/>
      <c r="AK116" s="2"/>
      <c r="AL116" s="2"/>
      <c r="AM116" s="2"/>
      <c r="AN116" s="2"/>
      <c r="AO116" s="2"/>
      <c r="AP116" s="2"/>
      <c r="AQ116" s="2"/>
      <c r="AR116" s="2"/>
      <c r="AS116" s="2"/>
      <c r="AT116" s="2"/>
      <c r="AU116" s="2"/>
    </row>
    <row r="117" spans="1:47" ht="15.85" customHeight="1" x14ac:dyDescent="0.3">
      <c r="A117" s="2"/>
      <c r="B117" s="48"/>
      <c r="C117" s="79"/>
      <c r="D117" s="2"/>
      <c r="E117" s="2"/>
      <c r="F117" s="2"/>
      <c r="G117" s="2"/>
      <c r="H117" s="2"/>
      <c r="I117" s="2"/>
      <c r="J117" s="2"/>
      <c r="K117" s="2"/>
      <c r="L117" s="2"/>
      <c r="M117" s="2"/>
      <c r="N117" s="2"/>
      <c r="O117" s="2"/>
      <c r="P117" s="2"/>
      <c r="Q117" s="2"/>
      <c r="R117" s="2"/>
      <c r="S117" s="2"/>
      <c r="T117" s="2"/>
      <c r="U117" s="2"/>
      <c r="V117" s="2"/>
      <c r="W117" s="2"/>
      <c r="X117" s="2"/>
      <c r="Y117" s="2"/>
      <c r="Z117" s="2"/>
      <c r="AA117" s="538" t="s">
        <v>120</v>
      </c>
      <c r="AB117" s="45" t="s">
        <v>117</v>
      </c>
      <c r="AC117" s="46">
        <v>60</v>
      </c>
      <c r="AD117" s="46">
        <v>24</v>
      </c>
      <c r="AE117" s="47"/>
      <c r="AF117" s="47"/>
      <c r="AG117" s="2"/>
      <c r="AH117" s="2"/>
      <c r="AI117" s="2"/>
      <c r="AJ117" s="2"/>
      <c r="AK117" s="2"/>
      <c r="AL117" s="2"/>
      <c r="AM117" s="2"/>
      <c r="AN117" s="2"/>
      <c r="AO117" s="2"/>
      <c r="AP117" s="2"/>
      <c r="AQ117" s="2"/>
      <c r="AR117" s="2"/>
      <c r="AS117" s="2"/>
      <c r="AT117" s="2"/>
      <c r="AU117" s="2"/>
    </row>
    <row r="118" spans="1:47" ht="14.25" customHeight="1" x14ac:dyDescent="0.3">
      <c r="A118" s="2"/>
      <c r="B118" s="2"/>
      <c r="C118" s="25"/>
      <c r="D118" s="2"/>
      <c r="E118" s="2"/>
      <c r="F118" s="2"/>
      <c r="G118" s="2"/>
      <c r="H118" s="2"/>
      <c r="I118" s="2"/>
      <c r="J118" s="2"/>
      <c r="K118" s="2"/>
      <c r="L118" s="2"/>
      <c r="M118" s="2"/>
      <c r="N118" s="2"/>
      <c r="O118" s="2"/>
      <c r="P118" s="2"/>
      <c r="Q118" s="2"/>
      <c r="R118" s="2"/>
      <c r="S118" s="2"/>
      <c r="T118" s="2"/>
      <c r="U118" s="2"/>
      <c r="V118" s="2"/>
      <c r="W118" s="2"/>
      <c r="X118" s="2"/>
      <c r="Y118" s="2"/>
      <c r="Z118" s="2"/>
      <c r="AA118" s="537"/>
      <c r="AB118" s="45" t="s">
        <v>118</v>
      </c>
      <c r="AC118" s="46">
        <v>90</v>
      </c>
      <c r="AD118" s="46">
        <v>60</v>
      </c>
      <c r="AE118" s="45">
        <v>75</v>
      </c>
      <c r="AF118" s="45">
        <v>56</v>
      </c>
      <c r="AG118" s="2"/>
      <c r="AH118" s="2"/>
      <c r="AI118" s="2"/>
      <c r="AJ118" s="2"/>
      <c r="AK118" s="2"/>
      <c r="AL118" s="2"/>
      <c r="AM118" s="2"/>
      <c r="AN118" s="2"/>
      <c r="AO118" s="2"/>
      <c r="AP118" s="2"/>
      <c r="AQ118" s="2"/>
      <c r="AR118" s="2"/>
      <c r="AS118" s="2"/>
      <c r="AT118" s="2"/>
      <c r="AU118" s="2"/>
    </row>
    <row r="119" spans="1:47" ht="14.2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538" t="s">
        <v>122</v>
      </c>
      <c r="AB119" s="45" t="s">
        <v>117</v>
      </c>
      <c r="AC119" s="46">
        <v>27</v>
      </c>
      <c r="AD119" s="46">
        <v>19</v>
      </c>
      <c r="AE119" s="47"/>
      <c r="AF119" s="47"/>
      <c r="AG119" s="2"/>
      <c r="AH119" s="2"/>
      <c r="AI119" s="2"/>
      <c r="AJ119" s="2"/>
      <c r="AK119" s="2"/>
      <c r="AL119" s="2"/>
      <c r="AM119" s="2"/>
      <c r="AN119" s="2"/>
      <c r="AO119" s="2"/>
      <c r="AP119" s="2"/>
      <c r="AQ119" s="2"/>
      <c r="AR119" s="2"/>
      <c r="AS119" s="2"/>
      <c r="AT119" s="2"/>
      <c r="AU119" s="2"/>
    </row>
    <row r="120" spans="1:47" ht="14.2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536"/>
      <c r="AB120" s="45"/>
      <c r="AC120" s="46"/>
      <c r="AD120" s="46"/>
      <c r="AE120" s="47"/>
      <c r="AF120" s="47"/>
      <c r="AG120" s="2"/>
      <c r="AH120" s="2"/>
      <c r="AI120" s="2"/>
      <c r="AJ120" s="2"/>
      <c r="AK120" s="2"/>
      <c r="AL120" s="2"/>
      <c r="AM120" s="2"/>
      <c r="AN120" s="2"/>
      <c r="AO120" s="2"/>
      <c r="AP120" s="2"/>
      <c r="AQ120" s="2"/>
      <c r="AR120" s="2"/>
      <c r="AS120" s="2"/>
      <c r="AT120" s="2"/>
      <c r="AU120" s="2"/>
    </row>
    <row r="121" spans="1:47" ht="14.2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537"/>
      <c r="AB121" s="45" t="s">
        <v>118</v>
      </c>
      <c r="AC121" s="46">
        <v>35</v>
      </c>
      <c r="AD121" s="46">
        <v>24</v>
      </c>
      <c r="AE121" s="45">
        <v>45</v>
      </c>
      <c r="AF121" s="45">
        <v>26</v>
      </c>
      <c r="AG121" s="2"/>
      <c r="AH121" s="2"/>
      <c r="AI121" s="2"/>
      <c r="AJ121" s="2"/>
      <c r="AK121" s="2"/>
      <c r="AL121" s="2"/>
      <c r="AM121" s="2"/>
      <c r="AN121" s="2"/>
      <c r="AO121" s="2"/>
      <c r="AP121" s="2"/>
      <c r="AQ121" s="2"/>
      <c r="AR121" s="2"/>
      <c r="AS121" s="2"/>
      <c r="AT121" s="2"/>
      <c r="AU121" s="2"/>
    </row>
    <row r="122" spans="1:47" ht="14.25" customHeight="1" x14ac:dyDescent="0.3">
      <c r="A122" s="2"/>
      <c r="B122" s="2"/>
      <c r="C122" s="2"/>
      <c r="D122" s="36"/>
      <c r="E122" s="2"/>
      <c r="F122" s="2"/>
      <c r="G122" s="2"/>
      <c r="H122" s="36"/>
      <c r="I122" s="2"/>
      <c r="J122" s="2"/>
      <c r="K122" s="2"/>
      <c r="L122" s="2"/>
      <c r="M122" s="2"/>
      <c r="N122" s="2"/>
      <c r="O122" s="2"/>
      <c r="P122" s="2"/>
      <c r="Q122" s="2"/>
      <c r="R122" s="2"/>
      <c r="S122" s="2"/>
      <c r="T122" s="2"/>
      <c r="U122" s="2"/>
      <c r="V122" s="2"/>
      <c r="W122" s="2"/>
      <c r="X122" s="2"/>
      <c r="Y122" s="2"/>
      <c r="Z122" s="2"/>
      <c r="AA122" s="53"/>
      <c r="AB122" s="45"/>
      <c r="AC122" s="46"/>
      <c r="AD122" s="46"/>
      <c r="AE122" s="45"/>
      <c r="AF122" s="45"/>
      <c r="AG122" s="2"/>
      <c r="AH122" s="2"/>
      <c r="AI122" s="2"/>
      <c r="AJ122" s="2"/>
      <c r="AK122" s="2"/>
      <c r="AL122" s="2"/>
      <c r="AM122" s="2"/>
      <c r="AN122" s="2"/>
      <c r="AO122" s="2"/>
      <c r="AP122" s="2"/>
      <c r="AQ122" s="2"/>
      <c r="AR122" s="2"/>
      <c r="AS122" s="2"/>
      <c r="AT122" s="2"/>
      <c r="AU122" s="2"/>
    </row>
    <row r="123" spans="1:47" ht="14.25" customHeight="1" x14ac:dyDescent="0.3">
      <c r="A123" s="2"/>
      <c r="B123" s="35"/>
      <c r="C123" s="29"/>
      <c r="D123" s="2"/>
      <c r="E123" s="2"/>
      <c r="F123" s="2"/>
      <c r="G123" s="2"/>
      <c r="H123" s="2"/>
      <c r="I123" s="2"/>
      <c r="J123" s="2"/>
      <c r="K123" s="2"/>
      <c r="L123" s="2"/>
      <c r="M123" s="2"/>
      <c r="N123" s="2"/>
      <c r="O123" s="2"/>
      <c r="P123" s="2"/>
      <c r="Q123" s="2"/>
      <c r="R123" s="2"/>
      <c r="S123" s="2"/>
      <c r="T123" s="2"/>
      <c r="U123" s="2"/>
      <c r="V123" s="2"/>
      <c r="W123" s="2"/>
      <c r="X123" s="2"/>
      <c r="Y123" s="2"/>
      <c r="Z123" s="2"/>
      <c r="AA123" s="538" t="s">
        <v>21</v>
      </c>
      <c r="AB123" s="45" t="s">
        <v>117</v>
      </c>
      <c r="AC123" s="46">
        <v>19</v>
      </c>
      <c r="AD123" s="46">
        <v>17</v>
      </c>
      <c r="AE123" s="47"/>
      <c r="AF123" s="47"/>
      <c r="AG123" s="2"/>
      <c r="AH123" s="2"/>
      <c r="AI123" s="2"/>
      <c r="AJ123" s="2"/>
      <c r="AK123" s="2"/>
      <c r="AL123" s="2"/>
      <c r="AM123" s="2"/>
      <c r="AN123" s="2"/>
      <c r="AO123" s="2"/>
      <c r="AP123" s="2"/>
      <c r="AQ123" s="2"/>
      <c r="AR123" s="2"/>
      <c r="AS123" s="2"/>
      <c r="AT123" s="2"/>
      <c r="AU123" s="2"/>
    </row>
    <row r="124" spans="1:47" ht="14.25" customHeight="1" x14ac:dyDescent="0.3">
      <c r="A124" s="2"/>
      <c r="B124" s="35"/>
      <c r="C124" s="32"/>
      <c r="D124" s="2"/>
      <c r="E124" s="2"/>
      <c r="F124" s="2"/>
      <c r="G124" s="2"/>
      <c r="H124" s="2"/>
      <c r="I124" s="2"/>
      <c r="J124" s="2"/>
      <c r="K124" s="2"/>
      <c r="L124" s="2"/>
      <c r="M124" s="2"/>
      <c r="N124" s="2"/>
      <c r="O124" s="2"/>
      <c r="P124" s="2"/>
      <c r="Q124" s="2"/>
      <c r="R124" s="2"/>
      <c r="S124" s="2"/>
      <c r="T124" s="2"/>
      <c r="U124" s="2"/>
      <c r="V124" s="2"/>
      <c r="W124" s="2"/>
      <c r="X124" s="2"/>
      <c r="Y124" s="2"/>
      <c r="Z124" s="2"/>
      <c r="AA124" s="537"/>
      <c r="AB124" s="45" t="s">
        <v>118</v>
      </c>
      <c r="AC124" s="46">
        <v>75</v>
      </c>
      <c r="AD124" s="46">
        <v>50</v>
      </c>
      <c r="AE124" s="59">
        <v>80</v>
      </c>
      <c r="AF124" s="59">
        <v>50</v>
      </c>
      <c r="AG124" s="2"/>
      <c r="AH124" s="2"/>
      <c r="AI124" s="2"/>
      <c r="AJ124" s="2"/>
      <c r="AK124" s="2"/>
      <c r="AL124" s="2"/>
      <c r="AM124" s="2"/>
      <c r="AN124" s="2"/>
      <c r="AO124" s="2"/>
      <c r="AP124" s="2"/>
      <c r="AQ124" s="2"/>
      <c r="AR124" s="2"/>
      <c r="AS124" s="2"/>
      <c r="AT124" s="2"/>
      <c r="AU124" s="2"/>
    </row>
    <row r="125" spans="1:47" ht="14.25" customHeight="1" x14ac:dyDescent="0.3">
      <c r="A125" s="2"/>
      <c r="B125" s="48"/>
      <c r="C125" s="79"/>
      <c r="D125" s="2"/>
      <c r="E125" s="2"/>
      <c r="F125" s="2"/>
      <c r="G125" s="2"/>
      <c r="H125" s="2"/>
      <c r="I125" s="2"/>
      <c r="J125" s="2"/>
      <c r="K125" s="2"/>
      <c r="L125" s="2"/>
      <c r="M125" s="2"/>
      <c r="N125" s="2"/>
      <c r="O125" s="2"/>
      <c r="P125" s="2"/>
      <c r="Q125" s="2"/>
      <c r="R125" s="2"/>
      <c r="S125" s="2"/>
      <c r="T125" s="2"/>
      <c r="U125" s="2"/>
      <c r="V125" s="2"/>
      <c r="W125" s="2"/>
      <c r="X125" s="2"/>
      <c r="Y125" s="2"/>
      <c r="Z125" s="2"/>
      <c r="AA125" s="538" t="s">
        <v>19</v>
      </c>
      <c r="AB125" s="45" t="s">
        <v>117</v>
      </c>
      <c r="AC125" s="46">
        <v>15</v>
      </c>
      <c r="AD125" s="46">
        <v>8</v>
      </c>
      <c r="AE125" s="47"/>
      <c r="AF125" s="47"/>
      <c r="AG125" s="2"/>
      <c r="AH125" s="2"/>
      <c r="AI125" s="2"/>
      <c r="AJ125" s="2"/>
      <c r="AK125" s="2"/>
      <c r="AL125" s="2"/>
      <c r="AM125" s="2"/>
      <c r="AN125" s="2"/>
      <c r="AO125" s="2"/>
      <c r="AP125" s="2"/>
      <c r="AQ125" s="2"/>
      <c r="AR125" s="2"/>
      <c r="AS125" s="2"/>
      <c r="AT125" s="2"/>
      <c r="AU125" s="2"/>
    </row>
    <row r="126" spans="1:47" ht="14.25" customHeight="1" x14ac:dyDescent="0.3">
      <c r="A126" s="2"/>
      <c r="B126" s="48"/>
      <c r="C126" s="79"/>
      <c r="D126" s="2"/>
      <c r="E126" s="2"/>
      <c r="F126" s="2"/>
      <c r="G126" s="2"/>
      <c r="H126" s="2"/>
      <c r="I126" s="2"/>
      <c r="J126" s="2"/>
      <c r="K126" s="2"/>
      <c r="L126" s="2"/>
      <c r="M126" s="2"/>
      <c r="N126" s="2"/>
      <c r="O126" s="2"/>
      <c r="P126" s="2"/>
      <c r="Q126" s="2"/>
      <c r="R126" s="2"/>
      <c r="S126" s="2"/>
      <c r="T126" s="2"/>
      <c r="U126" s="2"/>
      <c r="V126" s="2"/>
      <c r="W126" s="2"/>
      <c r="X126" s="2"/>
      <c r="Y126" s="2"/>
      <c r="Z126" s="2"/>
      <c r="AA126" s="536"/>
      <c r="AB126" s="45"/>
      <c r="AC126" s="46"/>
      <c r="AD126" s="46"/>
      <c r="AE126" s="47"/>
      <c r="AF126" s="47"/>
      <c r="AG126" s="2"/>
      <c r="AH126" s="2"/>
      <c r="AI126" s="2"/>
      <c r="AJ126" s="2"/>
      <c r="AK126" s="2"/>
      <c r="AL126" s="2"/>
      <c r="AM126" s="2"/>
      <c r="AN126" s="2"/>
      <c r="AO126" s="2"/>
      <c r="AP126" s="2"/>
      <c r="AQ126" s="2"/>
      <c r="AR126" s="2"/>
      <c r="AS126" s="2"/>
      <c r="AT126" s="2"/>
      <c r="AU126" s="2"/>
    </row>
    <row r="127" spans="1:47" ht="14.2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537"/>
      <c r="AB127" s="45" t="s">
        <v>118</v>
      </c>
      <c r="AC127" s="46">
        <v>29</v>
      </c>
      <c r="AD127" s="46">
        <v>19</v>
      </c>
      <c r="AE127" s="59">
        <v>20</v>
      </c>
      <c r="AF127" s="60">
        <v>25</v>
      </c>
      <c r="AG127" s="2"/>
      <c r="AH127" s="2"/>
      <c r="AI127" s="2"/>
      <c r="AJ127" s="2"/>
      <c r="AK127" s="2"/>
      <c r="AL127" s="2"/>
      <c r="AM127" s="2"/>
      <c r="AN127" s="2"/>
      <c r="AO127" s="2"/>
      <c r="AP127" s="2"/>
      <c r="AQ127" s="2"/>
      <c r="AR127" s="2"/>
      <c r="AS127" s="2"/>
      <c r="AT127" s="2"/>
      <c r="AU127" s="2"/>
    </row>
    <row r="128" spans="1:47" ht="13.5" customHeight="1" x14ac:dyDescent="0.3">
      <c r="A128" s="2"/>
      <c r="B128" s="35"/>
      <c r="C128" s="25"/>
      <c r="D128" s="2"/>
      <c r="E128" s="2"/>
      <c r="F128" s="2"/>
      <c r="G128" s="2"/>
      <c r="H128" s="2"/>
      <c r="I128" s="2"/>
      <c r="J128" s="1"/>
      <c r="K128" s="1"/>
      <c r="L128" s="2"/>
      <c r="M128" s="2"/>
      <c r="N128" s="2"/>
      <c r="O128" s="2"/>
      <c r="P128" s="2"/>
      <c r="Q128" s="2"/>
      <c r="R128" s="2"/>
      <c r="S128" s="2"/>
      <c r="T128" s="2"/>
      <c r="U128" s="2"/>
      <c r="V128" s="2"/>
      <c r="W128" s="2"/>
      <c r="X128" s="2"/>
      <c r="Y128" s="2"/>
      <c r="Z128" s="2"/>
      <c r="AA128" s="540" t="s">
        <v>125</v>
      </c>
      <c r="AB128" s="45" t="s">
        <v>117</v>
      </c>
      <c r="AC128" s="46">
        <v>14</v>
      </c>
      <c r="AD128" s="46">
        <v>13</v>
      </c>
      <c r="AE128" s="47"/>
      <c r="AF128" s="47"/>
      <c r="AG128" s="2"/>
      <c r="AH128" s="2"/>
      <c r="AI128" s="2"/>
      <c r="AJ128" s="2"/>
      <c r="AK128" s="2"/>
      <c r="AL128" s="2"/>
      <c r="AM128" s="2"/>
      <c r="AN128" s="2"/>
      <c r="AO128" s="2"/>
      <c r="AP128" s="2"/>
      <c r="AQ128" s="2"/>
      <c r="AR128" s="2"/>
      <c r="AS128" s="2"/>
      <c r="AT128" s="2"/>
      <c r="AU128" s="2"/>
    </row>
    <row r="129" spans="1:47" ht="21.8" customHeight="1" x14ac:dyDescent="0.3">
      <c r="A129" s="2"/>
      <c r="B129" s="35"/>
      <c r="C129" s="2"/>
      <c r="D129" s="2"/>
      <c r="E129" s="2"/>
      <c r="F129" s="2"/>
      <c r="G129" s="2"/>
      <c r="H129" s="2"/>
      <c r="I129" s="2"/>
      <c r="J129" s="2"/>
      <c r="K129" s="2"/>
      <c r="L129" s="2"/>
      <c r="M129" s="2"/>
      <c r="N129" s="2"/>
      <c r="O129" s="2"/>
      <c r="P129" s="2"/>
      <c r="Q129" s="2"/>
      <c r="R129" s="2"/>
      <c r="S129" s="2"/>
      <c r="T129" s="2"/>
      <c r="U129" s="2"/>
      <c r="V129" s="2"/>
      <c r="W129" s="2"/>
      <c r="X129" s="2"/>
      <c r="Y129" s="2"/>
      <c r="Z129" s="2"/>
      <c r="AA129" s="537"/>
      <c r="AB129" s="45" t="s">
        <v>118</v>
      </c>
      <c r="AC129" s="46">
        <v>33</v>
      </c>
      <c r="AD129" s="46">
        <v>15</v>
      </c>
      <c r="AE129" s="59">
        <v>20</v>
      </c>
      <c r="AF129" s="60">
        <v>23</v>
      </c>
      <c r="AG129" s="2"/>
      <c r="AH129" s="2"/>
      <c r="AI129" s="2"/>
      <c r="AJ129" s="2"/>
      <c r="AK129" s="2"/>
      <c r="AL129" s="2"/>
      <c r="AM129" s="2"/>
      <c r="AN129" s="2"/>
      <c r="AO129" s="2"/>
      <c r="AP129" s="2"/>
      <c r="AQ129" s="2"/>
      <c r="AR129" s="2"/>
      <c r="AS129" s="2"/>
      <c r="AT129" s="2"/>
      <c r="AU129" s="2"/>
    </row>
    <row r="130" spans="1:47" ht="21.8" customHeight="1" x14ac:dyDescent="0.3">
      <c r="A130" s="2"/>
      <c r="B130" s="35"/>
      <c r="C130" s="2"/>
      <c r="D130" s="2"/>
      <c r="E130" s="2"/>
      <c r="F130" s="2"/>
      <c r="G130" s="2"/>
      <c r="H130" s="2"/>
      <c r="I130" s="2"/>
      <c r="J130" s="2"/>
      <c r="K130" s="2"/>
      <c r="L130" s="2"/>
      <c r="M130" s="2"/>
      <c r="N130" s="2"/>
      <c r="O130" s="2"/>
      <c r="P130" s="2"/>
      <c r="Q130" s="2"/>
      <c r="R130" s="2"/>
      <c r="S130" s="2"/>
      <c r="T130" s="2"/>
      <c r="U130" s="2"/>
      <c r="V130" s="2"/>
      <c r="W130" s="2"/>
      <c r="X130" s="2"/>
      <c r="Y130" s="2"/>
      <c r="Z130" s="2"/>
      <c r="AA130" s="61"/>
      <c r="AB130" s="62"/>
      <c r="AC130" s="3"/>
      <c r="AD130" s="3"/>
      <c r="AE130" s="63"/>
      <c r="AF130" s="64"/>
      <c r="AG130" s="2"/>
      <c r="AH130" s="2"/>
      <c r="AI130" s="2"/>
      <c r="AJ130" s="2"/>
      <c r="AK130" s="2"/>
      <c r="AL130" s="2"/>
      <c r="AM130" s="2"/>
      <c r="AN130" s="2"/>
      <c r="AO130" s="2"/>
      <c r="AP130" s="2"/>
      <c r="AQ130" s="2"/>
      <c r="AR130" s="2"/>
      <c r="AS130" s="2"/>
      <c r="AT130" s="2"/>
      <c r="AU130" s="2"/>
    </row>
    <row r="131" spans="1:47" ht="14.25" customHeight="1" x14ac:dyDescent="0.3">
      <c r="A131" s="2"/>
      <c r="B131" s="2"/>
      <c r="C131" s="32"/>
      <c r="D131" s="36"/>
      <c r="E131" s="2"/>
      <c r="F131" s="2"/>
      <c r="G131" s="2"/>
      <c r="H131" s="36"/>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row>
    <row r="132" spans="1:47" ht="14.25" customHeight="1" x14ac:dyDescent="0.3">
      <c r="A132" s="2"/>
      <c r="B132" s="2"/>
      <c r="C132" s="32"/>
      <c r="D132" s="36"/>
      <c r="E132" s="2"/>
      <c r="F132" s="2"/>
      <c r="G132" s="2"/>
      <c r="H132" s="36"/>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row>
    <row r="133" spans="1:47" ht="21" customHeight="1" x14ac:dyDescent="0.3">
      <c r="A133" s="2"/>
      <c r="B133" s="35"/>
      <c r="C133" s="3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row>
    <row r="134" spans="1:47" ht="14.25" customHeight="1" x14ac:dyDescent="0.3">
      <c r="A134" s="2"/>
      <c r="B134" s="35"/>
      <c r="C134" s="3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row>
    <row r="135" spans="1:47" ht="14.25" customHeight="1" x14ac:dyDescent="0.3">
      <c r="A135" s="2"/>
      <c r="B135" s="48"/>
      <c r="C135" s="79"/>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row>
    <row r="136" spans="1:47" ht="14.25" customHeight="1" x14ac:dyDescent="0.3">
      <c r="A136" s="2"/>
      <c r="B136" s="48"/>
      <c r="C136" s="79"/>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row>
    <row r="137" spans="1:47" ht="14.2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row>
    <row r="138" spans="1:47" ht="14.2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row>
    <row r="139" spans="1:47" ht="14.2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row>
    <row r="140" spans="1:47" ht="14.2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row>
    <row r="141" spans="1:47" ht="14.2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row>
    <row r="142" spans="1:47" ht="14.2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row>
    <row r="143" spans="1:47" ht="14.2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row>
    <row r="144" spans="1:47" ht="14.2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row>
    <row r="145" spans="1:47" ht="14.2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row>
    <row r="146" spans="1:47" ht="14.2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row>
    <row r="147" spans="1:47" ht="14.2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row>
    <row r="148" spans="1:47" ht="14.2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row>
    <row r="149" spans="1:47" ht="14.2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row>
    <row r="150" spans="1:47" ht="14.2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row>
    <row r="151" spans="1:47" ht="30.05" customHeight="1" x14ac:dyDescent="0.3">
      <c r="A151" s="2"/>
      <c r="B151" s="35"/>
      <c r="C151" s="25"/>
      <c r="D151" s="2"/>
      <c r="E151" s="2"/>
      <c r="F151" s="2"/>
      <c r="G151" s="2"/>
      <c r="H151" s="2"/>
      <c r="I151" s="2"/>
      <c r="J151" s="1"/>
      <c r="K151" s="1"/>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row>
    <row r="152" spans="1:47" ht="14.25" customHeight="1" x14ac:dyDescent="0.3">
      <c r="A152" s="2"/>
      <c r="B152" s="35"/>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row>
    <row r="153" spans="1:47" ht="14.25" customHeight="1" x14ac:dyDescent="0.3">
      <c r="A153" s="2"/>
      <c r="B153" s="2"/>
      <c r="C153" s="2"/>
      <c r="D153" s="36"/>
      <c r="E153" s="2"/>
      <c r="F153" s="2"/>
      <c r="G153" s="2"/>
      <c r="H153" s="36"/>
      <c r="I153" s="2"/>
      <c r="J153" s="2"/>
      <c r="K153" s="2"/>
      <c r="L153" s="2"/>
      <c r="M153" s="2"/>
      <c r="N153" s="2"/>
      <c r="O153" s="2"/>
      <c r="P153" s="2"/>
      <c r="Q153" s="2"/>
      <c r="R153" s="2"/>
      <c r="S153" s="2"/>
      <c r="T153" s="2"/>
      <c r="U153" s="2"/>
      <c r="V153" s="2"/>
      <c r="W153" s="2"/>
      <c r="X153" s="2"/>
      <c r="Y153" s="2"/>
      <c r="Z153" s="2"/>
      <c r="AA153" s="37" t="s">
        <v>163</v>
      </c>
      <c r="AB153" s="38"/>
      <c r="AC153" s="38"/>
      <c r="AD153" s="38"/>
      <c r="AE153" s="38"/>
      <c r="AF153" s="38"/>
      <c r="AG153" s="2"/>
      <c r="AH153" s="2"/>
      <c r="AI153" s="2"/>
      <c r="AJ153" s="2"/>
      <c r="AK153" s="2"/>
      <c r="AL153" s="2"/>
      <c r="AM153" s="2"/>
      <c r="AN153" s="2"/>
      <c r="AO153" s="2"/>
      <c r="AP153" s="2"/>
      <c r="AQ153" s="2"/>
      <c r="AR153" s="2"/>
      <c r="AS153" s="2"/>
      <c r="AT153" s="2"/>
      <c r="AU153" s="2"/>
    </row>
    <row r="154" spans="1:47" ht="14.25" customHeight="1" x14ac:dyDescent="0.3">
      <c r="A154" s="2"/>
      <c r="B154" s="35"/>
      <c r="C154" s="29"/>
      <c r="D154" s="2"/>
      <c r="E154" s="2"/>
      <c r="F154" s="2"/>
      <c r="G154" s="2"/>
      <c r="H154" s="2"/>
      <c r="I154" s="2"/>
      <c r="J154" s="2"/>
      <c r="K154" s="2"/>
      <c r="L154" s="2"/>
      <c r="M154" s="2"/>
      <c r="N154" s="2"/>
      <c r="O154" s="2"/>
      <c r="P154" s="2"/>
      <c r="Q154" s="2"/>
      <c r="R154" s="2"/>
      <c r="S154" s="2"/>
      <c r="T154" s="2"/>
      <c r="U154" s="2"/>
      <c r="V154" s="2"/>
      <c r="W154" s="2"/>
      <c r="X154" s="2"/>
      <c r="Y154" s="2"/>
      <c r="Z154" s="2"/>
      <c r="AA154" s="41" t="s">
        <v>0</v>
      </c>
      <c r="AB154" s="42" t="s">
        <v>115</v>
      </c>
      <c r="AC154" s="42" t="s">
        <v>107</v>
      </c>
      <c r="AD154" s="42" t="s">
        <v>108</v>
      </c>
      <c r="AE154" s="42" t="s">
        <v>109</v>
      </c>
      <c r="AF154" s="42" t="s">
        <v>53</v>
      </c>
      <c r="AG154" s="2"/>
      <c r="AH154" s="2"/>
      <c r="AI154" s="2"/>
      <c r="AJ154" s="2"/>
      <c r="AK154" s="2"/>
      <c r="AL154" s="2"/>
      <c r="AM154" s="2"/>
      <c r="AN154" s="2"/>
      <c r="AO154" s="2"/>
      <c r="AP154" s="2"/>
      <c r="AQ154" s="2"/>
      <c r="AR154" s="2"/>
      <c r="AS154" s="2"/>
      <c r="AT154" s="2"/>
      <c r="AU154" s="2"/>
    </row>
    <row r="155" spans="1:47" ht="14.25" customHeight="1" x14ac:dyDescent="0.3">
      <c r="A155" s="2"/>
      <c r="B155" s="35"/>
      <c r="C155" s="29"/>
      <c r="D155" s="2"/>
      <c r="E155" s="2"/>
      <c r="F155" s="2"/>
      <c r="G155" s="2"/>
      <c r="H155" s="2"/>
      <c r="I155" s="2"/>
      <c r="J155" s="2"/>
      <c r="K155" s="2"/>
      <c r="L155" s="2"/>
      <c r="M155" s="2"/>
      <c r="N155" s="2"/>
      <c r="O155" s="2"/>
      <c r="P155" s="2"/>
      <c r="Q155" s="2"/>
      <c r="R155" s="2"/>
      <c r="S155" s="2"/>
      <c r="T155" s="2"/>
      <c r="U155" s="2"/>
      <c r="V155" s="2"/>
      <c r="W155" s="2"/>
      <c r="X155" s="2"/>
      <c r="Y155" s="2"/>
      <c r="Z155" s="2"/>
      <c r="AA155" s="43"/>
      <c r="AB155" s="42"/>
      <c r="AC155" s="42"/>
      <c r="AD155" s="42"/>
      <c r="AE155" s="42"/>
      <c r="AF155" s="42"/>
      <c r="AG155" s="2"/>
      <c r="AH155" s="2"/>
      <c r="AI155" s="2"/>
      <c r="AJ155" s="2"/>
      <c r="AK155" s="2"/>
      <c r="AL155" s="2"/>
      <c r="AM155" s="2"/>
      <c r="AN155" s="2"/>
      <c r="AO155" s="2"/>
      <c r="AP155" s="2"/>
      <c r="AQ155" s="2"/>
      <c r="AR155" s="2"/>
      <c r="AS155" s="2"/>
      <c r="AT155" s="2"/>
      <c r="AU155" s="2"/>
    </row>
    <row r="156" spans="1:47" ht="14.25" customHeight="1" x14ac:dyDescent="0.3">
      <c r="A156" s="2"/>
      <c r="B156" s="35"/>
      <c r="C156" s="32"/>
      <c r="D156" s="2"/>
      <c r="E156" s="2"/>
      <c r="F156" s="2"/>
      <c r="G156" s="2"/>
      <c r="H156" s="2"/>
      <c r="I156" s="2"/>
      <c r="J156" s="2"/>
      <c r="K156" s="2"/>
      <c r="L156" s="2"/>
      <c r="M156" s="2"/>
      <c r="N156" s="2"/>
      <c r="O156" s="2"/>
      <c r="P156" s="2"/>
      <c r="Q156" s="2"/>
      <c r="R156" s="2"/>
      <c r="S156" s="2"/>
      <c r="T156" s="2"/>
      <c r="U156" s="2"/>
      <c r="V156" s="2"/>
      <c r="W156" s="44"/>
      <c r="X156" s="2"/>
      <c r="Y156" s="2"/>
      <c r="Z156" s="2"/>
      <c r="AA156" s="535" t="s">
        <v>116</v>
      </c>
      <c r="AB156" s="45" t="s">
        <v>117</v>
      </c>
      <c r="AC156" s="46">
        <v>12</v>
      </c>
      <c r="AD156" s="46">
        <v>13</v>
      </c>
      <c r="AE156" s="47"/>
      <c r="AF156" s="47"/>
      <c r="AG156" s="2"/>
      <c r="AH156" s="2"/>
      <c r="AI156" s="2"/>
      <c r="AJ156" s="2"/>
      <c r="AK156" s="2"/>
      <c r="AL156" s="2"/>
      <c r="AM156" s="2"/>
      <c r="AN156" s="2"/>
      <c r="AO156" s="2"/>
      <c r="AP156" s="2"/>
      <c r="AQ156" s="2"/>
      <c r="AR156" s="2"/>
      <c r="AS156" s="2"/>
      <c r="AT156" s="2"/>
      <c r="AU156" s="2"/>
    </row>
    <row r="157" spans="1:47" ht="14.25" customHeight="1" x14ac:dyDescent="0.3">
      <c r="A157" s="2"/>
      <c r="B157" s="48"/>
      <c r="C157" s="79"/>
      <c r="D157" s="2"/>
      <c r="E157" s="2"/>
      <c r="F157" s="2"/>
      <c r="G157" s="2"/>
      <c r="H157" s="2"/>
      <c r="I157" s="2"/>
      <c r="J157" s="2"/>
      <c r="K157" s="2"/>
      <c r="L157" s="2"/>
      <c r="M157" s="2"/>
      <c r="N157" s="2"/>
      <c r="O157" s="2"/>
      <c r="P157" s="2"/>
      <c r="Q157" s="2"/>
      <c r="R157" s="2"/>
      <c r="S157" s="2"/>
      <c r="T157" s="2"/>
      <c r="U157" s="2"/>
      <c r="V157" s="2"/>
      <c r="W157" s="2"/>
      <c r="X157" s="2"/>
      <c r="Y157" s="2"/>
      <c r="Z157" s="2"/>
      <c r="AA157" s="536"/>
      <c r="AB157" s="45"/>
      <c r="AC157" s="46"/>
      <c r="AD157" s="46"/>
      <c r="AE157" s="47"/>
      <c r="AF157" s="47"/>
      <c r="AG157" s="2"/>
      <c r="AH157" s="2"/>
      <c r="AI157" s="2"/>
      <c r="AJ157" s="2"/>
      <c r="AK157" s="2"/>
      <c r="AL157" s="2"/>
      <c r="AM157" s="2"/>
      <c r="AN157" s="2"/>
      <c r="AO157" s="2"/>
      <c r="AP157" s="2"/>
      <c r="AQ157" s="2"/>
      <c r="AR157" s="2"/>
      <c r="AS157" s="2"/>
      <c r="AT157" s="2"/>
      <c r="AU157" s="2"/>
    </row>
    <row r="158" spans="1:47" ht="14.25" customHeight="1" x14ac:dyDescent="0.3">
      <c r="A158" s="2"/>
      <c r="B158" s="2"/>
      <c r="C158" s="25"/>
      <c r="D158" s="2"/>
      <c r="E158" s="2"/>
      <c r="F158" s="2"/>
      <c r="G158" s="2"/>
      <c r="H158" s="2"/>
      <c r="I158" s="2"/>
      <c r="J158" s="2"/>
      <c r="K158" s="2"/>
      <c r="L158" s="2"/>
      <c r="M158" s="2"/>
      <c r="N158" s="2"/>
      <c r="O158" s="2"/>
      <c r="P158" s="2"/>
      <c r="Q158" s="2"/>
      <c r="R158" s="2"/>
      <c r="S158" s="2"/>
      <c r="T158" s="2"/>
      <c r="U158" s="2"/>
      <c r="V158" s="2"/>
      <c r="W158" s="2"/>
      <c r="X158" s="2"/>
      <c r="Y158" s="2"/>
      <c r="Z158" s="2"/>
      <c r="AA158" s="537"/>
      <c r="AB158" s="45" t="s">
        <v>118</v>
      </c>
      <c r="AC158" s="46">
        <v>21</v>
      </c>
      <c r="AD158" s="46">
        <v>34</v>
      </c>
      <c r="AE158" s="51">
        <v>20</v>
      </c>
      <c r="AF158" s="52">
        <v>31</v>
      </c>
      <c r="AG158" s="2"/>
      <c r="AH158" s="2"/>
      <c r="AI158" s="2"/>
      <c r="AJ158" s="2"/>
      <c r="AK158" s="2"/>
      <c r="AL158" s="2"/>
      <c r="AM158" s="2"/>
      <c r="AN158" s="2"/>
      <c r="AO158" s="2"/>
      <c r="AP158" s="2"/>
      <c r="AQ158" s="2"/>
      <c r="AR158" s="2"/>
      <c r="AS158" s="2"/>
      <c r="AT158" s="2"/>
      <c r="AU158" s="2"/>
    </row>
    <row r="159" spans="1:47" ht="14.25" customHeight="1" x14ac:dyDescent="0.3">
      <c r="A159" s="2"/>
      <c r="B159" s="2"/>
      <c r="C159" s="25"/>
      <c r="D159" s="2"/>
      <c r="E159" s="2"/>
      <c r="F159" s="2"/>
      <c r="G159" s="2"/>
      <c r="H159" s="2"/>
      <c r="I159" s="2"/>
      <c r="J159" s="2"/>
      <c r="K159" s="2"/>
      <c r="L159" s="2"/>
      <c r="M159" s="2"/>
      <c r="N159" s="2"/>
      <c r="O159" s="2"/>
      <c r="P159" s="2"/>
      <c r="Q159" s="2"/>
      <c r="R159" s="2"/>
      <c r="S159" s="2"/>
      <c r="T159" s="2"/>
      <c r="U159" s="2"/>
      <c r="V159" s="2"/>
      <c r="W159" s="2"/>
      <c r="X159" s="2"/>
      <c r="Y159" s="2"/>
      <c r="Z159" s="2"/>
      <c r="AA159" s="53"/>
      <c r="AB159" s="45"/>
      <c r="AC159" s="46"/>
      <c r="AD159" s="46"/>
      <c r="AE159" s="51"/>
      <c r="AF159" s="52"/>
      <c r="AG159" s="2"/>
      <c r="AH159" s="2"/>
      <c r="AI159" s="2"/>
      <c r="AJ159" s="2"/>
      <c r="AK159" s="2"/>
      <c r="AL159" s="2"/>
      <c r="AM159" s="2"/>
      <c r="AN159" s="2"/>
      <c r="AO159" s="2"/>
      <c r="AP159" s="2"/>
      <c r="AQ159" s="2"/>
      <c r="AR159" s="2"/>
      <c r="AS159" s="2"/>
      <c r="AT159" s="2"/>
      <c r="AU159" s="2"/>
    </row>
    <row r="160" spans="1:47" ht="14.25" customHeight="1" x14ac:dyDescent="0.3">
      <c r="A160" s="2"/>
      <c r="B160" s="2"/>
      <c r="C160" s="25"/>
      <c r="D160" s="2"/>
      <c r="E160" s="2"/>
      <c r="F160" s="2"/>
      <c r="G160" s="2"/>
      <c r="H160" s="2"/>
      <c r="I160" s="2"/>
      <c r="J160" s="2"/>
      <c r="K160" s="2"/>
      <c r="L160" s="2"/>
      <c r="M160" s="2"/>
      <c r="N160" s="2"/>
      <c r="O160" s="2"/>
      <c r="P160" s="2"/>
      <c r="Q160" s="2"/>
      <c r="R160" s="2"/>
      <c r="S160" s="2"/>
      <c r="T160" s="2"/>
      <c r="U160" s="2"/>
      <c r="V160" s="2"/>
      <c r="W160" s="2"/>
      <c r="X160" s="2"/>
      <c r="Y160" s="2"/>
      <c r="Z160" s="2"/>
      <c r="AA160" s="538" t="s">
        <v>4</v>
      </c>
      <c r="AB160" s="45" t="s">
        <v>117</v>
      </c>
      <c r="AC160" s="46">
        <v>40</v>
      </c>
      <c r="AD160" s="46">
        <v>37</v>
      </c>
      <c r="AE160" s="54"/>
      <c r="AF160" s="54"/>
      <c r="AG160" s="2"/>
      <c r="AH160" s="2"/>
      <c r="AI160" s="2"/>
      <c r="AJ160" s="2"/>
      <c r="AK160" s="2"/>
      <c r="AL160" s="2"/>
      <c r="AM160" s="2"/>
      <c r="AN160" s="2"/>
      <c r="AO160" s="2"/>
      <c r="AP160" s="2"/>
      <c r="AQ160" s="2"/>
      <c r="AR160" s="2"/>
      <c r="AS160" s="2"/>
      <c r="AT160" s="2"/>
      <c r="AU160" s="2"/>
    </row>
    <row r="161" spans="1:47" ht="14.2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536"/>
      <c r="AB161" s="45"/>
      <c r="AC161" s="46"/>
      <c r="AD161" s="46"/>
      <c r="AE161" s="54"/>
      <c r="AF161" s="54"/>
      <c r="AG161" s="2"/>
      <c r="AH161" s="2"/>
      <c r="AI161" s="2"/>
      <c r="AJ161" s="2"/>
      <c r="AK161" s="2"/>
      <c r="AL161" s="2"/>
      <c r="AM161" s="2"/>
      <c r="AN161" s="2"/>
      <c r="AO161" s="2"/>
      <c r="AP161" s="2"/>
      <c r="AQ161" s="2"/>
      <c r="AR161" s="2"/>
      <c r="AS161" s="2"/>
      <c r="AT161" s="2"/>
      <c r="AU161" s="2"/>
    </row>
    <row r="162" spans="1:47" ht="18.8" customHeight="1" x14ac:dyDescent="0.3">
      <c r="A162" s="2"/>
      <c r="B162" s="2"/>
      <c r="C162" s="2"/>
      <c r="D162" s="36"/>
      <c r="E162" s="2"/>
      <c r="F162" s="2"/>
      <c r="G162" s="2"/>
      <c r="H162" s="36"/>
      <c r="I162" s="2"/>
      <c r="J162" s="2"/>
      <c r="K162" s="2"/>
      <c r="L162" s="2"/>
      <c r="M162" s="2"/>
      <c r="N162" s="2"/>
      <c r="O162" s="2"/>
      <c r="P162" s="2"/>
      <c r="Q162" s="2"/>
      <c r="R162" s="2"/>
      <c r="S162" s="2"/>
      <c r="T162" s="2"/>
      <c r="U162" s="2"/>
      <c r="V162" s="2"/>
      <c r="W162" s="2"/>
      <c r="X162" s="2"/>
      <c r="Y162" s="2"/>
      <c r="Z162" s="2"/>
      <c r="AA162" s="537"/>
      <c r="AB162" s="45" t="s">
        <v>118</v>
      </c>
      <c r="AC162" s="46">
        <v>75</v>
      </c>
      <c r="AD162" s="46">
        <v>73</v>
      </c>
      <c r="AE162" s="46">
        <v>80</v>
      </c>
      <c r="AF162" s="46">
        <v>60</v>
      </c>
      <c r="AG162" s="2"/>
      <c r="AH162" s="2"/>
      <c r="AI162" s="2"/>
      <c r="AJ162" s="2"/>
      <c r="AK162" s="2"/>
      <c r="AL162" s="2"/>
      <c r="AM162" s="2"/>
      <c r="AN162" s="2"/>
      <c r="AO162" s="2"/>
      <c r="AP162" s="2"/>
      <c r="AQ162" s="2"/>
      <c r="AR162" s="2"/>
      <c r="AS162" s="2"/>
      <c r="AT162" s="2"/>
      <c r="AU162" s="2"/>
    </row>
    <row r="163" spans="1:47" ht="15.05" customHeight="1" x14ac:dyDescent="0.3">
      <c r="A163" s="2"/>
      <c r="B163" s="35"/>
      <c r="C163" s="29"/>
      <c r="D163" s="2"/>
      <c r="E163" s="2"/>
      <c r="F163" s="2"/>
      <c r="G163" s="2"/>
      <c r="H163" s="2"/>
      <c r="I163" s="2"/>
      <c r="J163" s="2"/>
      <c r="K163" s="2"/>
      <c r="L163" s="2"/>
      <c r="M163" s="2"/>
      <c r="N163" s="2"/>
      <c r="O163" s="2"/>
      <c r="P163" s="2"/>
      <c r="Q163" s="2"/>
      <c r="R163" s="2"/>
      <c r="S163" s="2"/>
      <c r="T163" s="2"/>
      <c r="U163" s="2"/>
      <c r="V163" s="2"/>
      <c r="W163" s="2"/>
      <c r="X163" s="2"/>
      <c r="Y163" s="2"/>
      <c r="Z163" s="2"/>
      <c r="AA163" s="539" t="s">
        <v>119</v>
      </c>
      <c r="AB163" s="45" t="s">
        <v>117</v>
      </c>
      <c r="AC163" s="46">
        <v>52</v>
      </c>
      <c r="AD163" s="46">
        <v>25</v>
      </c>
      <c r="AE163" s="47"/>
      <c r="AF163" s="47"/>
      <c r="AG163" s="2"/>
      <c r="AH163" s="2"/>
      <c r="AI163" s="2"/>
      <c r="AJ163" s="2"/>
      <c r="AK163" s="2"/>
      <c r="AL163" s="2"/>
      <c r="AM163" s="2"/>
      <c r="AN163" s="2"/>
      <c r="AO163" s="2"/>
      <c r="AP163" s="2"/>
      <c r="AQ163" s="2"/>
      <c r="AR163" s="2"/>
      <c r="AS163" s="2"/>
      <c r="AT163" s="2"/>
      <c r="AU163" s="2"/>
    </row>
    <row r="164" spans="1:47" ht="21" customHeight="1" x14ac:dyDescent="0.3">
      <c r="A164" s="2"/>
      <c r="B164" s="35"/>
      <c r="C164" s="32"/>
      <c r="D164" s="2"/>
      <c r="E164" s="2"/>
      <c r="F164" s="2"/>
      <c r="G164" s="2"/>
      <c r="H164" s="2"/>
      <c r="I164" s="2"/>
      <c r="J164" s="2"/>
      <c r="K164" s="2"/>
      <c r="L164" s="2"/>
      <c r="M164" s="2"/>
      <c r="N164" s="2"/>
      <c r="O164" s="2"/>
      <c r="P164" s="2"/>
      <c r="Q164" s="2"/>
      <c r="R164" s="2"/>
      <c r="S164" s="2"/>
      <c r="T164" s="2"/>
      <c r="U164" s="2"/>
      <c r="V164" s="2"/>
      <c r="W164" s="2"/>
      <c r="X164" s="2"/>
      <c r="Y164" s="2"/>
      <c r="Z164" s="2"/>
      <c r="AA164" s="537"/>
      <c r="AB164" s="45" t="s">
        <v>118</v>
      </c>
      <c r="AC164" s="46">
        <v>79</v>
      </c>
      <c r="AD164" s="46">
        <v>59</v>
      </c>
      <c r="AE164" s="51">
        <v>70</v>
      </c>
      <c r="AF164" s="55">
        <v>82</v>
      </c>
      <c r="AG164" s="2"/>
      <c r="AH164" s="2"/>
      <c r="AI164" s="2"/>
      <c r="AJ164" s="2"/>
      <c r="AK164" s="2"/>
      <c r="AL164" s="2"/>
      <c r="AM164" s="2"/>
      <c r="AN164" s="2"/>
      <c r="AO164" s="2"/>
      <c r="AP164" s="2"/>
      <c r="AQ164" s="2"/>
      <c r="AR164" s="2"/>
      <c r="AS164" s="2"/>
      <c r="AT164" s="2"/>
      <c r="AU164" s="2"/>
    </row>
    <row r="165" spans="1:47" ht="21" customHeight="1" x14ac:dyDescent="0.3">
      <c r="A165" s="2"/>
      <c r="B165" s="35"/>
      <c r="C165" s="32"/>
      <c r="D165" s="2"/>
      <c r="E165" s="2"/>
      <c r="F165" s="2"/>
      <c r="G165" s="2"/>
      <c r="H165" s="2"/>
      <c r="I165" s="2"/>
      <c r="J165" s="2"/>
      <c r="K165" s="2"/>
      <c r="L165" s="2"/>
      <c r="M165" s="2"/>
      <c r="N165" s="2"/>
      <c r="O165" s="2"/>
      <c r="P165" s="2"/>
      <c r="Q165" s="2"/>
      <c r="R165" s="2"/>
      <c r="S165" s="2"/>
      <c r="T165" s="2"/>
      <c r="U165" s="2"/>
      <c r="V165" s="2"/>
      <c r="W165" s="2"/>
      <c r="X165" s="2"/>
      <c r="Y165" s="2"/>
      <c r="Z165" s="2"/>
      <c r="AA165" s="56"/>
      <c r="AB165" s="45"/>
      <c r="AC165" s="46"/>
      <c r="AD165" s="46"/>
      <c r="AE165" s="51"/>
      <c r="AF165" s="55"/>
      <c r="AG165" s="2"/>
      <c r="AH165" s="2"/>
      <c r="AI165" s="2"/>
      <c r="AJ165" s="2"/>
      <c r="AK165" s="2"/>
      <c r="AL165" s="2"/>
      <c r="AM165" s="2"/>
      <c r="AN165" s="2"/>
      <c r="AO165" s="2"/>
      <c r="AP165" s="2"/>
      <c r="AQ165" s="2"/>
      <c r="AR165" s="2"/>
      <c r="AS165" s="2"/>
      <c r="AT165" s="2"/>
      <c r="AU165" s="2"/>
    </row>
    <row r="166" spans="1:47" ht="15.85" customHeight="1" x14ac:dyDescent="0.3">
      <c r="A166" s="2"/>
      <c r="B166" s="48"/>
      <c r="C166" s="79"/>
      <c r="D166" s="2"/>
      <c r="E166" s="2"/>
      <c r="F166" s="2"/>
      <c r="G166" s="2"/>
      <c r="H166" s="2"/>
      <c r="I166" s="2"/>
      <c r="J166" s="2"/>
      <c r="K166" s="2"/>
      <c r="L166" s="2"/>
      <c r="M166" s="2"/>
      <c r="N166" s="2"/>
      <c r="O166" s="2"/>
      <c r="P166" s="2"/>
      <c r="Q166" s="2"/>
      <c r="R166" s="2"/>
      <c r="S166" s="2"/>
      <c r="T166" s="2"/>
      <c r="U166" s="2"/>
      <c r="V166" s="2"/>
      <c r="W166" s="2"/>
      <c r="X166" s="2"/>
      <c r="Y166" s="2"/>
      <c r="Z166" s="2"/>
      <c r="AA166" s="538" t="s">
        <v>120</v>
      </c>
      <c r="AB166" s="45" t="s">
        <v>117</v>
      </c>
      <c r="AC166" s="46">
        <v>60</v>
      </c>
      <c r="AD166" s="46">
        <v>24</v>
      </c>
      <c r="AE166" s="47"/>
      <c r="AF166" s="47"/>
      <c r="AG166" s="2"/>
      <c r="AH166" s="2"/>
      <c r="AI166" s="2"/>
      <c r="AJ166" s="2"/>
      <c r="AK166" s="2"/>
      <c r="AL166" s="2"/>
      <c r="AM166" s="2"/>
      <c r="AN166" s="2"/>
      <c r="AO166" s="2"/>
      <c r="AP166" s="2"/>
      <c r="AQ166" s="2"/>
      <c r="AR166" s="2"/>
      <c r="AS166" s="2"/>
      <c r="AT166" s="2"/>
      <c r="AU166" s="2"/>
    </row>
    <row r="167" spans="1:47" ht="14.25" customHeight="1" x14ac:dyDescent="0.3">
      <c r="A167" s="2"/>
      <c r="B167" s="2"/>
      <c r="C167" s="25"/>
      <c r="D167" s="2"/>
      <c r="E167" s="2"/>
      <c r="F167" s="2"/>
      <c r="G167" s="2"/>
      <c r="H167" s="2"/>
      <c r="I167" s="2"/>
      <c r="J167" s="2"/>
      <c r="K167" s="2"/>
      <c r="L167" s="2"/>
      <c r="M167" s="2"/>
      <c r="N167" s="2"/>
      <c r="O167" s="2"/>
      <c r="P167" s="2"/>
      <c r="Q167" s="2"/>
      <c r="R167" s="2"/>
      <c r="S167" s="2"/>
      <c r="T167" s="2"/>
      <c r="U167" s="2"/>
      <c r="V167" s="2"/>
      <c r="W167" s="2"/>
      <c r="X167" s="2"/>
      <c r="Y167" s="2"/>
      <c r="Z167" s="2"/>
      <c r="AA167" s="537"/>
      <c r="AB167" s="45" t="s">
        <v>118</v>
      </c>
      <c r="AC167" s="46">
        <v>90</v>
      </c>
      <c r="AD167" s="46">
        <v>60</v>
      </c>
      <c r="AE167" s="45">
        <v>75</v>
      </c>
      <c r="AF167" s="45">
        <v>56</v>
      </c>
      <c r="AG167" s="2"/>
      <c r="AH167" s="2"/>
      <c r="AI167" s="2"/>
      <c r="AJ167" s="2"/>
      <c r="AK167" s="2"/>
      <c r="AL167" s="2"/>
      <c r="AM167" s="2"/>
      <c r="AN167" s="2"/>
      <c r="AO167" s="2"/>
      <c r="AP167" s="2"/>
      <c r="AQ167" s="2"/>
      <c r="AR167" s="2"/>
      <c r="AS167" s="2"/>
      <c r="AT167" s="2"/>
      <c r="AU167" s="2"/>
    </row>
    <row r="168" spans="1:47" ht="14.2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538" t="s">
        <v>122</v>
      </c>
      <c r="AB168" s="45" t="s">
        <v>117</v>
      </c>
      <c r="AC168" s="46">
        <v>27</v>
      </c>
      <c r="AD168" s="46">
        <v>19</v>
      </c>
      <c r="AE168" s="47"/>
      <c r="AF168" s="47"/>
      <c r="AG168" s="2"/>
      <c r="AH168" s="2"/>
      <c r="AI168" s="2"/>
      <c r="AJ168" s="2"/>
      <c r="AK168" s="2"/>
      <c r="AL168" s="2"/>
      <c r="AM168" s="2"/>
      <c r="AN168" s="2"/>
      <c r="AO168" s="2"/>
      <c r="AP168" s="2"/>
      <c r="AQ168" s="2"/>
      <c r="AR168" s="2"/>
      <c r="AS168" s="2"/>
      <c r="AT168" s="2"/>
      <c r="AU168" s="2"/>
    </row>
    <row r="169" spans="1:47" ht="14.2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536"/>
      <c r="AB169" s="45"/>
      <c r="AC169" s="46"/>
      <c r="AD169" s="46"/>
      <c r="AE169" s="47"/>
      <c r="AF169" s="47"/>
      <c r="AG169" s="2"/>
      <c r="AH169" s="2"/>
      <c r="AI169" s="2"/>
      <c r="AJ169" s="2"/>
      <c r="AK169" s="2"/>
      <c r="AL169" s="2"/>
      <c r="AM169" s="2"/>
      <c r="AN169" s="2"/>
      <c r="AO169" s="2"/>
      <c r="AP169" s="2"/>
      <c r="AQ169" s="2"/>
      <c r="AR169" s="2"/>
      <c r="AS169" s="2"/>
      <c r="AT169" s="2"/>
      <c r="AU169" s="2"/>
    </row>
    <row r="170" spans="1:47" ht="14.2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537"/>
      <c r="AB170" s="45" t="s">
        <v>118</v>
      </c>
      <c r="AC170" s="46">
        <v>35</v>
      </c>
      <c r="AD170" s="46">
        <v>24</v>
      </c>
      <c r="AE170" s="45">
        <v>45</v>
      </c>
      <c r="AF170" s="45">
        <v>26</v>
      </c>
      <c r="AG170" s="2"/>
      <c r="AH170" s="2"/>
      <c r="AI170" s="2"/>
      <c r="AJ170" s="2"/>
      <c r="AK170" s="2"/>
      <c r="AL170" s="2"/>
      <c r="AM170" s="2"/>
      <c r="AN170" s="2"/>
      <c r="AO170" s="2"/>
      <c r="AP170" s="2"/>
      <c r="AQ170" s="2"/>
      <c r="AR170" s="2"/>
      <c r="AS170" s="2"/>
      <c r="AT170" s="2"/>
      <c r="AU170" s="2"/>
    </row>
    <row r="171" spans="1:47" ht="14.25" customHeight="1" x14ac:dyDescent="0.3">
      <c r="A171" s="2"/>
      <c r="B171" s="2"/>
      <c r="C171" s="2"/>
      <c r="D171" s="36"/>
      <c r="E171" s="2"/>
      <c r="F171" s="2"/>
      <c r="G171" s="2"/>
      <c r="H171" s="36"/>
      <c r="I171" s="2"/>
      <c r="J171" s="2"/>
      <c r="K171" s="2"/>
      <c r="L171" s="2"/>
      <c r="M171" s="2"/>
      <c r="N171" s="2"/>
      <c r="O171" s="2"/>
      <c r="P171" s="2"/>
      <c r="Q171" s="2"/>
      <c r="R171" s="2"/>
      <c r="S171" s="2"/>
      <c r="T171" s="2"/>
      <c r="U171" s="2"/>
      <c r="V171" s="2"/>
      <c r="W171" s="2"/>
      <c r="X171" s="2"/>
      <c r="Y171" s="2"/>
      <c r="Z171" s="2"/>
      <c r="AA171" s="53"/>
      <c r="AB171" s="45"/>
      <c r="AC171" s="46"/>
      <c r="AD171" s="46"/>
      <c r="AE171" s="45"/>
      <c r="AF171" s="45"/>
      <c r="AG171" s="2"/>
      <c r="AH171" s="2"/>
      <c r="AI171" s="2"/>
      <c r="AJ171" s="2"/>
      <c r="AK171" s="2"/>
      <c r="AL171" s="2"/>
      <c r="AM171" s="2"/>
      <c r="AN171" s="2"/>
      <c r="AO171" s="2"/>
      <c r="AP171" s="2"/>
      <c r="AQ171" s="2"/>
      <c r="AR171" s="2"/>
      <c r="AS171" s="2"/>
      <c r="AT171" s="2"/>
      <c r="AU171" s="2"/>
    </row>
    <row r="172" spans="1:47" ht="14.25" customHeight="1" x14ac:dyDescent="0.3">
      <c r="A172" s="2"/>
      <c r="B172" s="35"/>
      <c r="C172" s="29"/>
      <c r="D172" s="2"/>
      <c r="E172" s="2"/>
      <c r="F172" s="2"/>
      <c r="G172" s="2"/>
      <c r="H172" s="2"/>
      <c r="I172" s="2"/>
      <c r="J172" s="2"/>
      <c r="K172" s="2"/>
      <c r="L172" s="2"/>
      <c r="M172" s="2"/>
      <c r="N172" s="2"/>
      <c r="O172" s="2"/>
      <c r="P172" s="2"/>
      <c r="Q172" s="2"/>
      <c r="R172" s="2"/>
      <c r="S172" s="2"/>
      <c r="T172" s="2"/>
      <c r="U172" s="2"/>
      <c r="V172" s="2"/>
      <c r="W172" s="2"/>
      <c r="X172" s="2"/>
      <c r="Y172" s="2"/>
      <c r="Z172" s="2"/>
      <c r="AA172" s="538" t="s">
        <v>21</v>
      </c>
      <c r="AB172" s="45" t="s">
        <v>117</v>
      </c>
      <c r="AC172" s="46">
        <v>19</v>
      </c>
      <c r="AD172" s="46">
        <v>17</v>
      </c>
      <c r="AE172" s="47"/>
      <c r="AF172" s="47"/>
      <c r="AG172" s="2"/>
      <c r="AH172" s="2"/>
      <c r="AI172" s="2"/>
      <c r="AJ172" s="2"/>
      <c r="AK172" s="2"/>
      <c r="AL172" s="2"/>
      <c r="AM172" s="2"/>
      <c r="AN172" s="2"/>
      <c r="AO172" s="2"/>
      <c r="AP172" s="2"/>
      <c r="AQ172" s="2"/>
      <c r="AR172" s="2"/>
      <c r="AS172" s="2"/>
      <c r="AT172" s="2"/>
      <c r="AU172" s="2"/>
    </row>
    <row r="173" spans="1:47" ht="14.25" customHeight="1" x14ac:dyDescent="0.3">
      <c r="A173" s="2"/>
      <c r="B173" s="35"/>
      <c r="C173" s="32"/>
      <c r="D173" s="2"/>
      <c r="E173" s="2"/>
      <c r="F173" s="2"/>
      <c r="G173" s="2"/>
      <c r="H173" s="2"/>
      <c r="I173" s="2"/>
      <c r="J173" s="2"/>
      <c r="K173" s="2"/>
      <c r="L173" s="2"/>
      <c r="M173" s="2"/>
      <c r="N173" s="2"/>
      <c r="O173" s="2"/>
      <c r="P173" s="2"/>
      <c r="Q173" s="2"/>
      <c r="R173" s="2"/>
      <c r="S173" s="2"/>
      <c r="T173" s="2"/>
      <c r="U173" s="2"/>
      <c r="V173" s="2"/>
      <c r="W173" s="2"/>
      <c r="X173" s="2"/>
      <c r="Y173" s="2"/>
      <c r="Z173" s="2"/>
      <c r="AA173" s="537"/>
      <c r="AB173" s="45" t="s">
        <v>118</v>
      </c>
      <c r="AC173" s="46">
        <v>75</v>
      </c>
      <c r="AD173" s="46">
        <v>50</v>
      </c>
      <c r="AE173" s="59">
        <v>80</v>
      </c>
      <c r="AF173" s="59">
        <v>50</v>
      </c>
      <c r="AG173" s="2"/>
      <c r="AH173" s="2"/>
      <c r="AI173" s="2"/>
      <c r="AJ173" s="2"/>
      <c r="AK173" s="2"/>
      <c r="AL173" s="2"/>
      <c r="AM173" s="2"/>
      <c r="AN173" s="2"/>
      <c r="AO173" s="2"/>
      <c r="AP173" s="2"/>
      <c r="AQ173" s="2"/>
      <c r="AR173" s="2"/>
      <c r="AS173" s="2"/>
      <c r="AT173" s="2"/>
      <c r="AU173" s="2"/>
    </row>
    <row r="174" spans="1:47" ht="14.25" customHeight="1" x14ac:dyDescent="0.3">
      <c r="A174" s="2"/>
      <c r="B174" s="48"/>
      <c r="C174" s="79"/>
      <c r="D174" s="2"/>
      <c r="E174" s="2"/>
      <c r="F174" s="2"/>
      <c r="G174" s="2"/>
      <c r="H174" s="2"/>
      <c r="I174" s="2"/>
      <c r="J174" s="2"/>
      <c r="K174" s="2"/>
      <c r="L174" s="2"/>
      <c r="M174" s="2"/>
      <c r="N174" s="2"/>
      <c r="O174" s="2"/>
      <c r="P174" s="2"/>
      <c r="Q174" s="2"/>
      <c r="R174" s="2"/>
      <c r="S174" s="2"/>
      <c r="T174" s="2"/>
      <c r="U174" s="2"/>
      <c r="V174" s="2"/>
      <c r="W174" s="2"/>
      <c r="X174" s="2"/>
      <c r="Y174" s="2"/>
      <c r="Z174" s="2"/>
      <c r="AA174" s="538" t="s">
        <v>19</v>
      </c>
      <c r="AB174" s="45" t="s">
        <v>117</v>
      </c>
      <c r="AC174" s="46">
        <v>15</v>
      </c>
      <c r="AD174" s="46">
        <v>8</v>
      </c>
      <c r="AE174" s="47"/>
      <c r="AF174" s="47"/>
      <c r="AG174" s="2"/>
      <c r="AH174" s="2"/>
      <c r="AI174" s="2"/>
      <c r="AJ174" s="2"/>
      <c r="AK174" s="2"/>
      <c r="AL174" s="2"/>
      <c r="AM174" s="2"/>
      <c r="AN174" s="2"/>
      <c r="AO174" s="2"/>
      <c r="AP174" s="2"/>
      <c r="AQ174" s="2"/>
      <c r="AR174" s="2"/>
      <c r="AS174" s="2"/>
      <c r="AT174" s="2"/>
      <c r="AU174" s="2"/>
    </row>
    <row r="175" spans="1:47" ht="14.25" customHeight="1" x14ac:dyDescent="0.3">
      <c r="A175" s="2"/>
      <c r="B175" s="48"/>
      <c r="C175" s="79"/>
      <c r="D175" s="2"/>
      <c r="E175" s="2"/>
      <c r="F175" s="2"/>
      <c r="G175" s="2"/>
      <c r="H175" s="2"/>
      <c r="I175" s="2"/>
      <c r="J175" s="2"/>
      <c r="K175" s="2"/>
      <c r="L175" s="2"/>
      <c r="M175" s="2"/>
      <c r="N175" s="2"/>
      <c r="O175" s="2"/>
      <c r="P175" s="2"/>
      <c r="Q175" s="2"/>
      <c r="R175" s="2"/>
      <c r="S175" s="2"/>
      <c r="T175" s="2"/>
      <c r="U175" s="2"/>
      <c r="V175" s="2"/>
      <c r="W175" s="2"/>
      <c r="X175" s="2"/>
      <c r="Y175" s="2"/>
      <c r="Z175" s="2"/>
      <c r="AA175" s="536"/>
      <c r="AB175" s="45"/>
      <c r="AC175" s="46"/>
      <c r="AD175" s="46"/>
      <c r="AE175" s="47"/>
      <c r="AF175" s="47"/>
      <c r="AG175" s="2"/>
      <c r="AH175" s="2"/>
      <c r="AI175" s="2"/>
      <c r="AJ175" s="2"/>
      <c r="AK175" s="2"/>
      <c r="AL175" s="2"/>
      <c r="AM175" s="2"/>
      <c r="AN175" s="2"/>
      <c r="AO175" s="2"/>
      <c r="AP175" s="2"/>
      <c r="AQ175" s="2"/>
      <c r="AR175" s="2"/>
      <c r="AS175" s="2"/>
      <c r="AT175" s="2"/>
      <c r="AU175" s="2"/>
    </row>
    <row r="176" spans="1:47" ht="14.2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537"/>
      <c r="AB176" s="45" t="s">
        <v>118</v>
      </c>
      <c r="AC176" s="46">
        <v>29</v>
      </c>
      <c r="AD176" s="46">
        <v>19</v>
      </c>
      <c r="AE176" s="59">
        <v>20</v>
      </c>
      <c r="AF176" s="60">
        <v>25</v>
      </c>
      <c r="AG176" s="2"/>
      <c r="AH176" s="2"/>
      <c r="AI176" s="2"/>
      <c r="AJ176" s="2"/>
      <c r="AK176" s="2"/>
      <c r="AL176" s="2"/>
      <c r="AM176" s="2"/>
      <c r="AN176" s="2"/>
      <c r="AO176" s="2"/>
      <c r="AP176" s="2"/>
      <c r="AQ176" s="2"/>
      <c r="AR176" s="2"/>
      <c r="AS176" s="2"/>
      <c r="AT176" s="2"/>
      <c r="AU176" s="2"/>
    </row>
    <row r="177" spans="1:47" ht="13.5" customHeight="1" x14ac:dyDescent="0.3">
      <c r="A177" s="2"/>
      <c r="B177" s="35"/>
      <c r="C177" s="25"/>
      <c r="D177" s="2"/>
      <c r="E177" s="2"/>
      <c r="F177" s="2"/>
      <c r="G177" s="2"/>
      <c r="H177" s="2"/>
      <c r="I177" s="2"/>
      <c r="J177" s="1"/>
      <c r="K177" s="1"/>
      <c r="L177" s="2"/>
      <c r="M177" s="2"/>
      <c r="N177" s="2"/>
      <c r="O177" s="2"/>
      <c r="P177" s="2"/>
      <c r="Q177" s="2"/>
      <c r="R177" s="2"/>
      <c r="S177" s="2"/>
      <c r="T177" s="2"/>
      <c r="U177" s="2"/>
      <c r="V177" s="2"/>
      <c r="W177" s="2"/>
      <c r="X177" s="2"/>
      <c r="Y177" s="2"/>
      <c r="Z177" s="2"/>
      <c r="AA177" s="540" t="s">
        <v>125</v>
      </c>
      <c r="AB177" s="45" t="s">
        <v>117</v>
      </c>
      <c r="AC177" s="46">
        <v>14</v>
      </c>
      <c r="AD177" s="46">
        <v>13</v>
      </c>
      <c r="AE177" s="47"/>
      <c r="AF177" s="47"/>
      <c r="AG177" s="2"/>
      <c r="AH177" s="2"/>
      <c r="AI177" s="2"/>
      <c r="AJ177" s="2"/>
      <c r="AK177" s="2"/>
      <c r="AL177" s="2"/>
      <c r="AM177" s="2"/>
      <c r="AN177" s="2"/>
      <c r="AO177" s="2"/>
      <c r="AP177" s="2"/>
      <c r="AQ177" s="2"/>
      <c r="AR177" s="2"/>
      <c r="AS177" s="2"/>
      <c r="AT177" s="2"/>
      <c r="AU177" s="2"/>
    </row>
    <row r="178" spans="1:47" ht="21.8" customHeight="1" x14ac:dyDescent="0.3">
      <c r="A178" s="2"/>
      <c r="B178" s="35"/>
      <c r="C178" s="2"/>
      <c r="D178" s="2"/>
      <c r="E178" s="2"/>
      <c r="F178" s="2"/>
      <c r="G178" s="2"/>
      <c r="H178" s="2"/>
      <c r="I178" s="2"/>
      <c r="J178" s="2"/>
      <c r="K178" s="2"/>
      <c r="L178" s="2"/>
      <c r="M178" s="2"/>
      <c r="N178" s="2"/>
      <c r="O178" s="2"/>
      <c r="P178" s="2"/>
      <c r="Q178" s="2"/>
      <c r="R178" s="2"/>
      <c r="S178" s="2"/>
      <c r="T178" s="2"/>
      <c r="U178" s="2"/>
      <c r="V178" s="2"/>
      <c r="W178" s="2"/>
      <c r="X178" s="2"/>
      <c r="Y178" s="2"/>
      <c r="Z178" s="2"/>
      <c r="AA178" s="537"/>
      <c r="AB178" s="45" t="s">
        <v>118</v>
      </c>
      <c r="AC178" s="46">
        <v>33</v>
      </c>
      <c r="AD178" s="46">
        <v>15</v>
      </c>
      <c r="AE178" s="59">
        <v>20</v>
      </c>
      <c r="AF178" s="60">
        <v>23</v>
      </c>
      <c r="AG178" s="2"/>
      <c r="AH178" s="2"/>
      <c r="AI178" s="2"/>
      <c r="AJ178" s="2"/>
      <c r="AK178" s="2"/>
      <c r="AL178" s="2"/>
      <c r="AM178" s="2"/>
      <c r="AN178" s="2"/>
      <c r="AO178" s="2"/>
      <c r="AP178" s="2"/>
      <c r="AQ178" s="2"/>
      <c r="AR178" s="2"/>
      <c r="AS178" s="2"/>
      <c r="AT178" s="2"/>
      <c r="AU178" s="2"/>
    </row>
    <row r="179" spans="1:47" ht="21.8" customHeight="1" x14ac:dyDescent="0.3">
      <c r="A179" s="2"/>
      <c r="B179" s="35"/>
      <c r="C179" s="2"/>
      <c r="D179" s="2"/>
      <c r="E179" s="2"/>
      <c r="F179" s="2"/>
      <c r="G179" s="2"/>
      <c r="H179" s="2"/>
      <c r="I179" s="2"/>
      <c r="J179" s="2"/>
      <c r="K179" s="2"/>
      <c r="L179" s="2"/>
      <c r="M179" s="2"/>
      <c r="N179" s="2"/>
      <c r="O179" s="2"/>
      <c r="P179" s="2"/>
      <c r="Q179" s="2"/>
      <c r="R179" s="2"/>
      <c r="S179" s="2"/>
      <c r="T179" s="2"/>
      <c r="U179" s="2"/>
      <c r="V179" s="2"/>
      <c r="W179" s="2"/>
      <c r="X179" s="2"/>
      <c r="Y179" s="2"/>
      <c r="Z179" s="2"/>
      <c r="AA179" s="61"/>
      <c r="AB179" s="62"/>
      <c r="AC179" s="3"/>
      <c r="AD179" s="3"/>
      <c r="AE179" s="63"/>
      <c r="AF179" s="64"/>
      <c r="AG179" s="2"/>
      <c r="AH179" s="2"/>
      <c r="AI179" s="2"/>
      <c r="AJ179" s="2"/>
      <c r="AK179" s="2"/>
      <c r="AL179" s="2"/>
      <c r="AM179" s="2"/>
      <c r="AN179" s="2"/>
      <c r="AO179" s="2"/>
      <c r="AP179" s="2"/>
      <c r="AQ179" s="2"/>
      <c r="AR179" s="2"/>
      <c r="AS179" s="2"/>
      <c r="AT179" s="2"/>
      <c r="AU179" s="2"/>
    </row>
    <row r="180" spans="1:47" ht="14.25" customHeight="1" x14ac:dyDescent="0.3">
      <c r="A180" s="2"/>
      <c r="B180" s="2"/>
      <c r="C180" s="32"/>
      <c r="D180" s="36"/>
      <c r="E180" s="2"/>
      <c r="F180" s="2"/>
      <c r="G180" s="2"/>
      <c r="H180" s="36"/>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row>
    <row r="181" spans="1:47" ht="14.25" customHeight="1" x14ac:dyDescent="0.3">
      <c r="A181" s="2"/>
      <c r="B181" s="2"/>
      <c r="C181" s="32"/>
      <c r="D181" s="36"/>
      <c r="E181" s="2"/>
      <c r="F181" s="2"/>
      <c r="G181" s="2"/>
      <c r="H181" s="36"/>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row>
    <row r="182" spans="1:47" ht="21" customHeight="1" x14ac:dyDescent="0.3">
      <c r="A182" s="2"/>
      <c r="B182" s="35"/>
      <c r="C182" s="3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row>
    <row r="183" spans="1:47" ht="14.25" customHeight="1" x14ac:dyDescent="0.3">
      <c r="A183" s="2"/>
      <c r="B183" s="35"/>
      <c r="C183" s="3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row>
    <row r="184" spans="1:47" ht="14.25" customHeight="1" x14ac:dyDescent="0.3">
      <c r="A184" s="2"/>
      <c r="B184" s="48"/>
      <c r="C184" s="79"/>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row>
    <row r="185" spans="1:47" ht="14.25" customHeight="1" x14ac:dyDescent="0.3">
      <c r="A185" s="2"/>
      <c r="B185" s="48"/>
      <c r="C185" s="79"/>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row>
    <row r="186" spans="1:47" ht="14.2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row>
    <row r="187" spans="1:47" ht="14.2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row>
    <row r="188" spans="1:47" ht="14.2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row>
    <row r="189" spans="1:47" ht="14.2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row>
    <row r="190" spans="1:47" ht="14.2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row>
    <row r="191" spans="1:47" ht="14.2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row>
    <row r="192" spans="1:47" ht="14.2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row>
    <row r="193" spans="1:47" ht="14.2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row>
    <row r="194" spans="1:47" ht="14.2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row>
    <row r="195" spans="1:47" ht="14.2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row>
    <row r="196" spans="1:47" ht="14.2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row>
    <row r="197" spans="1:47" ht="14.2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row>
    <row r="198" spans="1:47" ht="14.2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row>
    <row r="199" spans="1:47" ht="14.2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row>
    <row r="200" spans="1:47" ht="30.05" customHeight="1" x14ac:dyDescent="0.3">
      <c r="A200" s="2"/>
      <c r="B200" s="35"/>
      <c r="C200" s="25"/>
      <c r="D200" s="2"/>
      <c r="E200" s="2"/>
      <c r="F200" s="2"/>
      <c r="G200" s="2"/>
      <c r="H200" s="2"/>
      <c r="I200" s="2"/>
      <c r="J200" s="1"/>
      <c r="K200" s="1"/>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row>
    <row r="201" spans="1:47" ht="14.25" customHeight="1" x14ac:dyDescent="0.3">
      <c r="A201" s="2"/>
      <c r="B201" s="35"/>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row>
    <row r="202" spans="1:47" ht="14.25" customHeight="1" x14ac:dyDescent="0.3">
      <c r="A202" s="2"/>
      <c r="B202" s="2"/>
      <c r="C202" s="2"/>
      <c r="D202" s="36"/>
      <c r="E202" s="2"/>
      <c r="F202" s="2"/>
      <c r="G202" s="2"/>
      <c r="H202" s="36"/>
      <c r="I202" s="2"/>
      <c r="J202" s="2"/>
      <c r="K202" s="2"/>
      <c r="L202" s="2"/>
      <c r="M202" s="2"/>
      <c r="N202" s="2"/>
      <c r="O202" s="2"/>
      <c r="P202" s="2"/>
      <c r="Q202" s="2"/>
      <c r="R202" s="2"/>
      <c r="S202" s="2"/>
      <c r="T202" s="2"/>
      <c r="U202" s="2"/>
      <c r="V202" s="2"/>
      <c r="W202" s="2"/>
      <c r="X202" s="2"/>
      <c r="Y202" s="2"/>
      <c r="Z202" s="2"/>
      <c r="AA202" s="37" t="s">
        <v>164</v>
      </c>
      <c r="AB202" s="38"/>
      <c r="AC202" s="38"/>
      <c r="AD202" s="38"/>
      <c r="AE202" s="38"/>
      <c r="AF202" s="38"/>
      <c r="AG202" s="2"/>
      <c r="AH202" s="2"/>
      <c r="AI202" s="2"/>
      <c r="AJ202" s="2"/>
      <c r="AK202" s="2"/>
      <c r="AL202" s="2"/>
      <c r="AM202" s="2"/>
      <c r="AN202" s="2"/>
      <c r="AO202" s="2"/>
      <c r="AP202" s="2"/>
      <c r="AQ202" s="2"/>
      <c r="AR202" s="2"/>
      <c r="AS202" s="2"/>
      <c r="AT202" s="2"/>
      <c r="AU202" s="2"/>
    </row>
    <row r="203" spans="1:47" ht="14.25" customHeight="1" x14ac:dyDescent="0.3">
      <c r="A203" s="2"/>
      <c r="B203" s="35"/>
      <c r="C203" s="29"/>
      <c r="D203" s="2"/>
      <c r="E203" s="2"/>
      <c r="F203" s="2"/>
      <c r="G203" s="2"/>
      <c r="H203" s="2"/>
      <c r="I203" s="2"/>
      <c r="J203" s="2"/>
      <c r="K203" s="2"/>
      <c r="L203" s="2"/>
      <c r="M203" s="2"/>
      <c r="N203" s="2"/>
      <c r="O203" s="2"/>
      <c r="P203" s="2"/>
      <c r="Q203" s="2"/>
      <c r="R203" s="2"/>
      <c r="S203" s="2"/>
      <c r="T203" s="2"/>
      <c r="U203" s="2"/>
      <c r="V203" s="2"/>
      <c r="W203" s="2"/>
      <c r="X203" s="2"/>
      <c r="Y203" s="2"/>
      <c r="Z203" s="2"/>
      <c r="AA203" s="41" t="s">
        <v>0</v>
      </c>
      <c r="AB203" s="42" t="s">
        <v>115</v>
      </c>
      <c r="AC203" s="42" t="s">
        <v>107</v>
      </c>
      <c r="AD203" s="42" t="s">
        <v>108</v>
      </c>
      <c r="AE203" s="42" t="s">
        <v>109</v>
      </c>
      <c r="AF203" s="42" t="s">
        <v>53</v>
      </c>
      <c r="AG203" s="2"/>
      <c r="AH203" s="2"/>
      <c r="AI203" s="2"/>
      <c r="AJ203" s="2"/>
      <c r="AK203" s="2"/>
      <c r="AL203" s="2"/>
      <c r="AM203" s="2"/>
      <c r="AN203" s="2"/>
      <c r="AO203" s="2"/>
      <c r="AP203" s="2"/>
      <c r="AQ203" s="2"/>
      <c r="AR203" s="2"/>
      <c r="AS203" s="2"/>
      <c r="AT203" s="2"/>
      <c r="AU203" s="2"/>
    </row>
    <row r="204" spans="1:47" ht="14.25" customHeight="1" x14ac:dyDescent="0.3">
      <c r="A204" s="2"/>
      <c r="B204" s="35"/>
      <c r="C204" s="29"/>
      <c r="D204" s="2"/>
      <c r="E204" s="2"/>
      <c r="F204" s="2"/>
      <c r="G204" s="2"/>
      <c r="H204" s="2"/>
      <c r="I204" s="2"/>
      <c r="J204" s="2"/>
      <c r="K204" s="2"/>
      <c r="L204" s="2"/>
      <c r="M204" s="2"/>
      <c r="N204" s="2"/>
      <c r="O204" s="2"/>
      <c r="P204" s="2"/>
      <c r="Q204" s="2"/>
      <c r="R204" s="2"/>
      <c r="S204" s="2"/>
      <c r="T204" s="2"/>
      <c r="U204" s="2"/>
      <c r="V204" s="2"/>
      <c r="W204" s="2"/>
      <c r="X204" s="2"/>
      <c r="Y204" s="2"/>
      <c r="Z204" s="2"/>
      <c r="AA204" s="43"/>
      <c r="AB204" s="42"/>
      <c r="AC204" s="42"/>
      <c r="AD204" s="42"/>
      <c r="AE204" s="42"/>
      <c r="AF204" s="42"/>
      <c r="AG204" s="2"/>
      <c r="AH204" s="2"/>
      <c r="AI204" s="2"/>
      <c r="AJ204" s="2"/>
      <c r="AK204" s="2"/>
      <c r="AL204" s="2"/>
      <c r="AM204" s="2"/>
      <c r="AN204" s="2"/>
      <c r="AO204" s="2"/>
      <c r="AP204" s="2"/>
      <c r="AQ204" s="2"/>
      <c r="AR204" s="2"/>
      <c r="AS204" s="2"/>
      <c r="AT204" s="2"/>
      <c r="AU204" s="2"/>
    </row>
    <row r="205" spans="1:47" ht="14.25" customHeight="1" x14ac:dyDescent="0.3">
      <c r="A205" s="2"/>
      <c r="B205" s="35"/>
      <c r="C205" s="32"/>
      <c r="D205" s="2"/>
      <c r="E205" s="2"/>
      <c r="F205" s="2"/>
      <c r="G205" s="2"/>
      <c r="H205" s="2"/>
      <c r="I205" s="2"/>
      <c r="J205" s="2"/>
      <c r="K205" s="2"/>
      <c r="L205" s="2"/>
      <c r="M205" s="2"/>
      <c r="N205" s="2"/>
      <c r="O205" s="2"/>
      <c r="P205" s="2"/>
      <c r="Q205" s="2"/>
      <c r="R205" s="2"/>
      <c r="S205" s="2"/>
      <c r="T205" s="2"/>
      <c r="U205" s="2"/>
      <c r="V205" s="2"/>
      <c r="W205" s="44"/>
      <c r="X205" s="2"/>
      <c r="Y205" s="2"/>
      <c r="Z205" s="2"/>
      <c r="AA205" s="535" t="s">
        <v>116</v>
      </c>
      <c r="AB205" s="45" t="s">
        <v>117</v>
      </c>
      <c r="AC205" s="46">
        <v>12</v>
      </c>
      <c r="AD205" s="46">
        <v>13</v>
      </c>
      <c r="AE205" s="47"/>
      <c r="AF205" s="47"/>
      <c r="AG205" s="2"/>
      <c r="AH205" s="2"/>
      <c r="AI205" s="2"/>
      <c r="AJ205" s="2"/>
      <c r="AK205" s="2"/>
      <c r="AL205" s="2"/>
      <c r="AM205" s="2"/>
      <c r="AN205" s="2"/>
      <c r="AO205" s="2"/>
      <c r="AP205" s="2"/>
      <c r="AQ205" s="2"/>
      <c r="AR205" s="2"/>
      <c r="AS205" s="2"/>
      <c r="AT205" s="2"/>
      <c r="AU205" s="2"/>
    </row>
    <row r="206" spans="1:47" ht="14.25" customHeight="1" x14ac:dyDescent="0.3">
      <c r="A206" s="2"/>
      <c r="B206" s="48"/>
      <c r="C206" s="79"/>
      <c r="D206" s="2"/>
      <c r="E206" s="2"/>
      <c r="F206" s="2"/>
      <c r="G206" s="2"/>
      <c r="H206" s="2"/>
      <c r="I206" s="2"/>
      <c r="J206" s="2"/>
      <c r="K206" s="2"/>
      <c r="L206" s="2"/>
      <c r="M206" s="2"/>
      <c r="N206" s="2"/>
      <c r="O206" s="2"/>
      <c r="P206" s="2"/>
      <c r="Q206" s="2"/>
      <c r="R206" s="2"/>
      <c r="S206" s="2"/>
      <c r="T206" s="2"/>
      <c r="U206" s="2"/>
      <c r="V206" s="2"/>
      <c r="W206" s="2"/>
      <c r="X206" s="2"/>
      <c r="Y206" s="2"/>
      <c r="Z206" s="2"/>
      <c r="AA206" s="536"/>
      <c r="AB206" s="45"/>
      <c r="AC206" s="46"/>
      <c r="AD206" s="46"/>
      <c r="AE206" s="47"/>
      <c r="AF206" s="47"/>
      <c r="AG206" s="2"/>
      <c r="AH206" s="2"/>
      <c r="AI206" s="2"/>
      <c r="AJ206" s="2"/>
      <c r="AK206" s="2"/>
      <c r="AL206" s="2"/>
      <c r="AM206" s="2"/>
      <c r="AN206" s="2"/>
      <c r="AO206" s="2"/>
      <c r="AP206" s="2"/>
      <c r="AQ206" s="2"/>
      <c r="AR206" s="2"/>
      <c r="AS206" s="2"/>
      <c r="AT206" s="2"/>
      <c r="AU206" s="2"/>
    </row>
    <row r="207" spans="1:47" ht="14.25" customHeight="1" x14ac:dyDescent="0.3">
      <c r="A207" s="2"/>
      <c r="B207" s="2"/>
      <c r="C207" s="25"/>
      <c r="D207" s="2"/>
      <c r="E207" s="2"/>
      <c r="F207" s="2"/>
      <c r="G207" s="2"/>
      <c r="H207" s="2"/>
      <c r="I207" s="2"/>
      <c r="J207" s="2"/>
      <c r="K207" s="2"/>
      <c r="L207" s="2"/>
      <c r="M207" s="2"/>
      <c r="N207" s="2"/>
      <c r="O207" s="2"/>
      <c r="P207" s="2"/>
      <c r="Q207" s="2"/>
      <c r="R207" s="2"/>
      <c r="S207" s="2"/>
      <c r="T207" s="2"/>
      <c r="U207" s="2"/>
      <c r="V207" s="2"/>
      <c r="W207" s="2"/>
      <c r="X207" s="2"/>
      <c r="Y207" s="2"/>
      <c r="Z207" s="2"/>
      <c r="AA207" s="537"/>
      <c r="AB207" s="45" t="s">
        <v>118</v>
      </c>
      <c r="AC207" s="46">
        <v>21</v>
      </c>
      <c r="AD207" s="46">
        <v>34</v>
      </c>
      <c r="AE207" s="51">
        <v>20</v>
      </c>
      <c r="AF207" s="52">
        <v>31</v>
      </c>
      <c r="AG207" s="2"/>
      <c r="AH207" s="2"/>
      <c r="AI207" s="2"/>
      <c r="AJ207" s="2"/>
      <c r="AK207" s="2"/>
      <c r="AL207" s="2"/>
      <c r="AM207" s="2"/>
      <c r="AN207" s="2"/>
      <c r="AO207" s="2"/>
      <c r="AP207" s="2"/>
      <c r="AQ207" s="2"/>
      <c r="AR207" s="2"/>
      <c r="AS207" s="2"/>
      <c r="AT207" s="2"/>
      <c r="AU207" s="2"/>
    </row>
    <row r="208" spans="1:47" ht="14.25" customHeight="1" x14ac:dyDescent="0.3">
      <c r="A208" s="2"/>
      <c r="B208" s="2"/>
      <c r="C208" s="25"/>
      <c r="D208" s="2"/>
      <c r="E208" s="2"/>
      <c r="F208" s="2"/>
      <c r="G208" s="2"/>
      <c r="H208" s="2"/>
      <c r="I208" s="2"/>
      <c r="J208" s="2"/>
      <c r="K208" s="2"/>
      <c r="L208" s="2"/>
      <c r="M208" s="2"/>
      <c r="N208" s="2"/>
      <c r="O208" s="2"/>
      <c r="P208" s="2"/>
      <c r="Q208" s="2"/>
      <c r="R208" s="2"/>
      <c r="S208" s="2"/>
      <c r="T208" s="2"/>
      <c r="U208" s="2"/>
      <c r="V208" s="2"/>
      <c r="W208" s="2"/>
      <c r="X208" s="2"/>
      <c r="Y208" s="2"/>
      <c r="Z208" s="2"/>
      <c r="AA208" s="53"/>
      <c r="AB208" s="45"/>
      <c r="AC208" s="46"/>
      <c r="AD208" s="46"/>
      <c r="AE208" s="51"/>
      <c r="AF208" s="52"/>
      <c r="AG208" s="2"/>
      <c r="AH208" s="2"/>
      <c r="AI208" s="2"/>
      <c r="AJ208" s="2"/>
      <c r="AK208" s="2"/>
      <c r="AL208" s="2"/>
      <c r="AM208" s="2"/>
      <c r="AN208" s="2"/>
      <c r="AO208" s="2"/>
      <c r="AP208" s="2"/>
      <c r="AQ208" s="2"/>
      <c r="AR208" s="2"/>
      <c r="AS208" s="2"/>
      <c r="AT208" s="2"/>
      <c r="AU208" s="2"/>
    </row>
    <row r="209" spans="1:47" ht="14.25" customHeight="1" x14ac:dyDescent="0.3">
      <c r="A209" s="2"/>
      <c r="B209" s="2"/>
      <c r="C209" s="25"/>
      <c r="D209" s="2"/>
      <c r="E209" s="2"/>
      <c r="F209" s="2"/>
      <c r="G209" s="2"/>
      <c r="H209" s="2"/>
      <c r="I209" s="2"/>
      <c r="J209" s="2"/>
      <c r="K209" s="2"/>
      <c r="L209" s="2"/>
      <c r="M209" s="2"/>
      <c r="N209" s="2"/>
      <c r="O209" s="2"/>
      <c r="P209" s="2"/>
      <c r="Q209" s="2"/>
      <c r="R209" s="2"/>
      <c r="S209" s="2"/>
      <c r="T209" s="2"/>
      <c r="U209" s="2"/>
      <c r="V209" s="2"/>
      <c r="W209" s="2"/>
      <c r="X209" s="2"/>
      <c r="Y209" s="2"/>
      <c r="Z209" s="2"/>
      <c r="AA209" s="538" t="s">
        <v>4</v>
      </c>
      <c r="AB209" s="45" t="s">
        <v>117</v>
      </c>
      <c r="AC209" s="46">
        <v>40</v>
      </c>
      <c r="AD209" s="46">
        <v>37</v>
      </c>
      <c r="AE209" s="54"/>
      <c r="AF209" s="54"/>
      <c r="AG209" s="2"/>
      <c r="AH209" s="2"/>
      <c r="AI209" s="2"/>
      <c r="AJ209" s="2"/>
      <c r="AK209" s="2"/>
      <c r="AL209" s="2"/>
      <c r="AM209" s="2"/>
      <c r="AN209" s="2"/>
      <c r="AO209" s="2"/>
      <c r="AP209" s="2"/>
      <c r="AQ209" s="2"/>
      <c r="AR209" s="2"/>
      <c r="AS209" s="2"/>
      <c r="AT209" s="2"/>
      <c r="AU209" s="2"/>
    </row>
    <row r="210" spans="1:47" ht="14.2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536"/>
      <c r="AB210" s="45"/>
      <c r="AC210" s="46"/>
      <c r="AD210" s="46"/>
      <c r="AE210" s="54"/>
      <c r="AF210" s="54"/>
      <c r="AG210" s="2"/>
      <c r="AH210" s="2"/>
      <c r="AI210" s="2"/>
      <c r="AJ210" s="2"/>
      <c r="AK210" s="2"/>
      <c r="AL210" s="2"/>
      <c r="AM210" s="2"/>
      <c r="AN210" s="2"/>
      <c r="AO210" s="2"/>
      <c r="AP210" s="2"/>
      <c r="AQ210" s="2"/>
      <c r="AR210" s="2"/>
      <c r="AS210" s="2"/>
      <c r="AT210" s="2"/>
      <c r="AU210" s="2"/>
    </row>
    <row r="211" spans="1:47" ht="18.8" customHeight="1" x14ac:dyDescent="0.3">
      <c r="A211" s="2"/>
      <c r="B211" s="2"/>
      <c r="C211" s="2"/>
      <c r="D211" s="36"/>
      <c r="E211" s="2"/>
      <c r="F211" s="2"/>
      <c r="G211" s="2"/>
      <c r="H211" s="36"/>
      <c r="I211" s="2"/>
      <c r="J211" s="2"/>
      <c r="K211" s="2"/>
      <c r="L211" s="2"/>
      <c r="M211" s="2"/>
      <c r="N211" s="2"/>
      <c r="O211" s="2"/>
      <c r="P211" s="2"/>
      <c r="Q211" s="2"/>
      <c r="R211" s="2"/>
      <c r="S211" s="2"/>
      <c r="T211" s="2"/>
      <c r="U211" s="2"/>
      <c r="V211" s="2"/>
      <c r="W211" s="2"/>
      <c r="X211" s="2"/>
      <c r="Y211" s="2"/>
      <c r="Z211" s="2"/>
      <c r="AA211" s="537"/>
      <c r="AB211" s="45" t="s">
        <v>118</v>
      </c>
      <c r="AC211" s="46">
        <v>75</v>
      </c>
      <c r="AD211" s="46">
        <v>73</v>
      </c>
      <c r="AE211" s="46">
        <v>80</v>
      </c>
      <c r="AF211" s="46">
        <v>60</v>
      </c>
      <c r="AG211" s="2"/>
      <c r="AH211" s="2"/>
      <c r="AI211" s="2"/>
      <c r="AJ211" s="2"/>
      <c r="AK211" s="2"/>
      <c r="AL211" s="2"/>
      <c r="AM211" s="2"/>
      <c r="AN211" s="2"/>
      <c r="AO211" s="2"/>
      <c r="AP211" s="2"/>
      <c r="AQ211" s="2"/>
      <c r="AR211" s="2"/>
      <c r="AS211" s="2"/>
      <c r="AT211" s="2"/>
      <c r="AU211" s="2"/>
    </row>
    <row r="212" spans="1:47" ht="15.05" customHeight="1" x14ac:dyDescent="0.3">
      <c r="A212" s="2"/>
      <c r="B212" s="35"/>
      <c r="C212" s="29"/>
      <c r="D212" s="2"/>
      <c r="E212" s="2"/>
      <c r="F212" s="2"/>
      <c r="G212" s="2"/>
      <c r="H212" s="2"/>
      <c r="I212" s="2"/>
      <c r="J212" s="2"/>
      <c r="K212" s="2"/>
      <c r="L212" s="2"/>
      <c r="M212" s="2"/>
      <c r="N212" s="2"/>
      <c r="O212" s="2"/>
      <c r="P212" s="2"/>
      <c r="Q212" s="2"/>
      <c r="R212" s="2"/>
      <c r="S212" s="2"/>
      <c r="T212" s="2"/>
      <c r="U212" s="2"/>
      <c r="V212" s="2"/>
      <c r="W212" s="2"/>
      <c r="X212" s="2"/>
      <c r="Y212" s="2"/>
      <c r="Z212" s="2"/>
      <c r="AA212" s="539" t="s">
        <v>119</v>
      </c>
      <c r="AB212" s="45" t="s">
        <v>117</v>
      </c>
      <c r="AC212" s="46">
        <v>52</v>
      </c>
      <c r="AD212" s="46">
        <v>25</v>
      </c>
      <c r="AE212" s="47"/>
      <c r="AF212" s="47"/>
      <c r="AG212" s="2"/>
      <c r="AH212" s="2"/>
      <c r="AI212" s="2"/>
      <c r="AJ212" s="2"/>
      <c r="AK212" s="2"/>
      <c r="AL212" s="2"/>
      <c r="AM212" s="2"/>
      <c r="AN212" s="2"/>
      <c r="AO212" s="2"/>
      <c r="AP212" s="2"/>
      <c r="AQ212" s="2"/>
      <c r="AR212" s="2"/>
      <c r="AS212" s="2"/>
      <c r="AT212" s="2"/>
      <c r="AU212" s="2"/>
    </row>
    <row r="213" spans="1:47" ht="21" customHeight="1" x14ac:dyDescent="0.3">
      <c r="A213" s="2"/>
      <c r="B213" s="35"/>
      <c r="C213" s="32"/>
      <c r="D213" s="2"/>
      <c r="E213" s="2"/>
      <c r="F213" s="2"/>
      <c r="G213" s="2"/>
      <c r="H213" s="2"/>
      <c r="I213" s="2"/>
      <c r="J213" s="2"/>
      <c r="K213" s="2"/>
      <c r="L213" s="2"/>
      <c r="M213" s="2"/>
      <c r="N213" s="2"/>
      <c r="O213" s="2"/>
      <c r="P213" s="2"/>
      <c r="Q213" s="2"/>
      <c r="R213" s="2"/>
      <c r="S213" s="2"/>
      <c r="T213" s="2"/>
      <c r="U213" s="2"/>
      <c r="V213" s="2"/>
      <c r="W213" s="2"/>
      <c r="X213" s="2"/>
      <c r="Y213" s="2"/>
      <c r="Z213" s="2"/>
      <c r="AA213" s="537"/>
      <c r="AB213" s="45" t="s">
        <v>118</v>
      </c>
      <c r="AC213" s="46">
        <v>79</v>
      </c>
      <c r="AD213" s="46">
        <v>59</v>
      </c>
      <c r="AE213" s="51">
        <v>70</v>
      </c>
      <c r="AF213" s="55">
        <v>82</v>
      </c>
      <c r="AG213" s="2"/>
      <c r="AH213" s="2"/>
      <c r="AI213" s="2"/>
      <c r="AJ213" s="2"/>
      <c r="AK213" s="2"/>
      <c r="AL213" s="2"/>
      <c r="AM213" s="2"/>
      <c r="AN213" s="2"/>
      <c r="AO213" s="2"/>
      <c r="AP213" s="2"/>
      <c r="AQ213" s="2"/>
      <c r="AR213" s="2"/>
      <c r="AS213" s="2"/>
      <c r="AT213" s="2"/>
      <c r="AU213" s="2"/>
    </row>
    <row r="214" spans="1:47" ht="21" customHeight="1" x14ac:dyDescent="0.3">
      <c r="A214" s="2"/>
      <c r="B214" s="35"/>
      <c r="C214" s="32"/>
      <c r="D214" s="2"/>
      <c r="E214" s="2"/>
      <c r="F214" s="2"/>
      <c r="G214" s="2"/>
      <c r="H214" s="2"/>
      <c r="I214" s="2"/>
      <c r="J214" s="2"/>
      <c r="K214" s="2"/>
      <c r="L214" s="2"/>
      <c r="M214" s="2"/>
      <c r="N214" s="2"/>
      <c r="O214" s="2"/>
      <c r="P214" s="2"/>
      <c r="Q214" s="2"/>
      <c r="R214" s="2"/>
      <c r="S214" s="2"/>
      <c r="T214" s="2"/>
      <c r="U214" s="2"/>
      <c r="V214" s="2"/>
      <c r="W214" s="2"/>
      <c r="X214" s="2"/>
      <c r="Y214" s="2"/>
      <c r="Z214" s="2"/>
      <c r="AA214" s="56"/>
      <c r="AB214" s="45"/>
      <c r="AC214" s="46"/>
      <c r="AD214" s="46"/>
      <c r="AE214" s="51"/>
      <c r="AF214" s="55"/>
      <c r="AG214" s="2"/>
      <c r="AH214" s="2"/>
      <c r="AI214" s="2"/>
      <c r="AJ214" s="2"/>
      <c r="AK214" s="2"/>
      <c r="AL214" s="2"/>
      <c r="AM214" s="2"/>
      <c r="AN214" s="2"/>
      <c r="AO214" s="2"/>
      <c r="AP214" s="2"/>
      <c r="AQ214" s="2"/>
      <c r="AR214" s="2"/>
      <c r="AS214" s="2"/>
      <c r="AT214" s="2"/>
      <c r="AU214" s="2"/>
    </row>
    <row r="215" spans="1:47" ht="15.85" customHeight="1" x14ac:dyDescent="0.3">
      <c r="A215" s="2"/>
      <c r="B215" s="48"/>
      <c r="C215" s="79"/>
      <c r="D215" s="2"/>
      <c r="E215" s="2"/>
      <c r="F215" s="2"/>
      <c r="G215" s="2"/>
      <c r="H215" s="2"/>
      <c r="I215" s="2"/>
      <c r="J215" s="2"/>
      <c r="K215" s="2"/>
      <c r="L215" s="2"/>
      <c r="M215" s="2"/>
      <c r="N215" s="2"/>
      <c r="O215" s="2"/>
      <c r="P215" s="2"/>
      <c r="Q215" s="2"/>
      <c r="R215" s="2"/>
      <c r="S215" s="2"/>
      <c r="T215" s="2"/>
      <c r="U215" s="2"/>
      <c r="V215" s="2"/>
      <c r="W215" s="2"/>
      <c r="X215" s="2"/>
      <c r="Y215" s="2"/>
      <c r="Z215" s="2"/>
      <c r="AA215" s="538" t="s">
        <v>120</v>
      </c>
      <c r="AB215" s="45" t="s">
        <v>117</v>
      </c>
      <c r="AC215" s="46">
        <v>60</v>
      </c>
      <c r="AD215" s="46">
        <v>24</v>
      </c>
      <c r="AE215" s="47"/>
      <c r="AF215" s="47"/>
      <c r="AG215" s="2"/>
      <c r="AH215" s="2"/>
      <c r="AI215" s="2"/>
      <c r="AJ215" s="2"/>
      <c r="AK215" s="2"/>
      <c r="AL215" s="2"/>
      <c r="AM215" s="2"/>
      <c r="AN215" s="2"/>
      <c r="AO215" s="2"/>
      <c r="AP215" s="2"/>
      <c r="AQ215" s="2"/>
      <c r="AR215" s="2"/>
      <c r="AS215" s="2"/>
      <c r="AT215" s="2"/>
      <c r="AU215" s="2"/>
    </row>
    <row r="216" spans="1:47" ht="14.25" customHeight="1" x14ac:dyDescent="0.3">
      <c r="A216" s="2"/>
      <c r="B216" s="2"/>
      <c r="C216" s="25"/>
      <c r="D216" s="2"/>
      <c r="E216" s="2"/>
      <c r="F216" s="2"/>
      <c r="G216" s="2"/>
      <c r="H216" s="2"/>
      <c r="I216" s="2"/>
      <c r="J216" s="2"/>
      <c r="K216" s="2"/>
      <c r="L216" s="2"/>
      <c r="M216" s="2"/>
      <c r="N216" s="2"/>
      <c r="O216" s="2"/>
      <c r="P216" s="2"/>
      <c r="Q216" s="2"/>
      <c r="R216" s="2"/>
      <c r="S216" s="2"/>
      <c r="T216" s="2"/>
      <c r="U216" s="2"/>
      <c r="V216" s="2"/>
      <c r="W216" s="2"/>
      <c r="X216" s="2"/>
      <c r="Y216" s="2"/>
      <c r="Z216" s="2"/>
      <c r="AA216" s="537"/>
      <c r="AB216" s="45" t="s">
        <v>118</v>
      </c>
      <c r="AC216" s="46">
        <v>90</v>
      </c>
      <c r="AD216" s="46">
        <v>60</v>
      </c>
      <c r="AE216" s="45">
        <v>75</v>
      </c>
      <c r="AF216" s="45">
        <v>56</v>
      </c>
      <c r="AG216" s="2"/>
      <c r="AH216" s="2"/>
      <c r="AI216" s="2"/>
      <c r="AJ216" s="2"/>
      <c r="AK216" s="2"/>
      <c r="AL216" s="2"/>
      <c r="AM216" s="2"/>
      <c r="AN216" s="2"/>
      <c r="AO216" s="2"/>
      <c r="AP216" s="2"/>
      <c r="AQ216" s="2"/>
      <c r="AR216" s="2"/>
      <c r="AS216" s="2"/>
      <c r="AT216" s="2"/>
      <c r="AU216" s="2"/>
    </row>
    <row r="217" spans="1:47" ht="14.2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538" t="s">
        <v>122</v>
      </c>
      <c r="AB217" s="45" t="s">
        <v>117</v>
      </c>
      <c r="AC217" s="46">
        <v>27</v>
      </c>
      <c r="AD217" s="46">
        <v>19</v>
      </c>
      <c r="AE217" s="47"/>
      <c r="AF217" s="47"/>
      <c r="AG217" s="2"/>
      <c r="AH217" s="2"/>
      <c r="AI217" s="2"/>
      <c r="AJ217" s="2"/>
      <c r="AK217" s="2"/>
      <c r="AL217" s="2"/>
      <c r="AM217" s="2"/>
      <c r="AN217" s="2"/>
      <c r="AO217" s="2"/>
      <c r="AP217" s="2"/>
      <c r="AQ217" s="2"/>
      <c r="AR217" s="2"/>
      <c r="AS217" s="2"/>
      <c r="AT217" s="2"/>
      <c r="AU217" s="2"/>
    </row>
    <row r="218" spans="1:47" ht="14.2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536"/>
      <c r="AB218" s="45"/>
      <c r="AC218" s="46"/>
      <c r="AD218" s="46"/>
      <c r="AE218" s="47"/>
      <c r="AF218" s="47"/>
      <c r="AG218" s="2"/>
      <c r="AH218" s="2"/>
      <c r="AI218" s="2"/>
      <c r="AJ218" s="2"/>
      <c r="AK218" s="2"/>
      <c r="AL218" s="2"/>
      <c r="AM218" s="2"/>
      <c r="AN218" s="2"/>
      <c r="AO218" s="2"/>
      <c r="AP218" s="2"/>
      <c r="AQ218" s="2"/>
      <c r="AR218" s="2"/>
      <c r="AS218" s="2"/>
      <c r="AT218" s="2"/>
      <c r="AU218" s="2"/>
    </row>
    <row r="219" spans="1:47" ht="14.2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537"/>
      <c r="AB219" s="45" t="s">
        <v>118</v>
      </c>
      <c r="AC219" s="46">
        <v>35</v>
      </c>
      <c r="AD219" s="46">
        <v>24</v>
      </c>
      <c r="AE219" s="45">
        <v>45</v>
      </c>
      <c r="AF219" s="45">
        <v>26</v>
      </c>
      <c r="AG219" s="2"/>
      <c r="AH219" s="2"/>
      <c r="AI219" s="2"/>
      <c r="AJ219" s="2"/>
      <c r="AK219" s="2"/>
      <c r="AL219" s="2"/>
      <c r="AM219" s="2"/>
      <c r="AN219" s="2"/>
      <c r="AO219" s="2"/>
      <c r="AP219" s="2"/>
      <c r="AQ219" s="2"/>
      <c r="AR219" s="2"/>
      <c r="AS219" s="2"/>
      <c r="AT219" s="2"/>
      <c r="AU219" s="2"/>
    </row>
    <row r="220" spans="1:47" ht="14.25" customHeight="1" x14ac:dyDescent="0.3">
      <c r="A220" s="2"/>
      <c r="B220" s="2"/>
      <c r="C220" s="2"/>
      <c r="D220" s="36"/>
      <c r="E220" s="2"/>
      <c r="F220" s="2"/>
      <c r="G220" s="2"/>
      <c r="H220" s="36"/>
      <c r="I220" s="2"/>
      <c r="J220" s="2"/>
      <c r="K220" s="2"/>
      <c r="L220" s="2"/>
      <c r="M220" s="2"/>
      <c r="N220" s="2"/>
      <c r="O220" s="2"/>
      <c r="P220" s="2"/>
      <c r="Q220" s="2"/>
      <c r="R220" s="2"/>
      <c r="S220" s="2"/>
      <c r="T220" s="2"/>
      <c r="U220" s="2"/>
      <c r="V220" s="2"/>
      <c r="W220" s="2"/>
      <c r="X220" s="2"/>
      <c r="Y220" s="2"/>
      <c r="Z220" s="2"/>
      <c r="AA220" s="53"/>
      <c r="AB220" s="45"/>
      <c r="AC220" s="46"/>
      <c r="AD220" s="46"/>
      <c r="AE220" s="45"/>
      <c r="AF220" s="45"/>
      <c r="AG220" s="2"/>
      <c r="AH220" s="2"/>
      <c r="AI220" s="2"/>
      <c r="AJ220" s="2"/>
      <c r="AK220" s="2"/>
      <c r="AL220" s="2"/>
      <c r="AM220" s="2"/>
      <c r="AN220" s="2"/>
      <c r="AO220" s="2"/>
      <c r="AP220" s="2"/>
      <c r="AQ220" s="2"/>
      <c r="AR220" s="2"/>
      <c r="AS220" s="2"/>
      <c r="AT220" s="2"/>
      <c r="AU220" s="2"/>
    </row>
    <row r="221" spans="1:47" ht="14.25" customHeight="1" x14ac:dyDescent="0.3">
      <c r="A221" s="2"/>
      <c r="B221" s="35"/>
      <c r="C221" s="29"/>
      <c r="D221" s="2"/>
      <c r="E221" s="2"/>
      <c r="F221" s="2"/>
      <c r="G221" s="2"/>
      <c r="H221" s="2"/>
      <c r="I221" s="2"/>
      <c r="J221" s="2"/>
      <c r="K221" s="2"/>
      <c r="L221" s="2"/>
      <c r="M221" s="2"/>
      <c r="N221" s="2"/>
      <c r="O221" s="2"/>
      <c r="P221" s="2"/>
      <c r="Q221" s="2"/>
      <c r="R221" s="2"/>
      <c r="S221" s="2"/>
      <c r="T221" s="2"/>
      <c r="U221" s="2"/>
      <c r="V221" s="2"/>
      <c r="W221" s="2"/>
      <c r="X221" s="2"/>
      <c r="Y221" s="2"/>
      <c r="Z221" s="2"/>
      <c r="AA221" s="538" t="s">
        <v>21</v>
      </c>
      <c r="AB221" s="45" t="s">
        <v>117</v>
      </c>
      <c r="AC221" s="46">
        <v>19</v>
      </c>
      <c r="AD221" s="46">
        <v>17</v>
      </c>
      <c r="AE221" s="47"/>
      <c r="AF221" s="47"/>
      <c r="AG221" s="2"/>
      <c r="AH221" s="2"/>
      <c r="AI221" s="2"/>
      <c r="AJ221" s="2"/>
      <c r="AK221" s="2"/>
      <c r="AL221" s="2"/>
      <c r="AM221" s="2"/>
      <c r="AN221" s="2"/>
      <c r="AO221" s="2"/>
      <c r="AP221" s="2"/>
      <c r="AQ221" s="2"/>
      <c r="AR221" s="2"/>
      <c r="AS221" s="2"/>
      <c r="AT221" s="2"/>
      <c r="AU221" s="2"/>
    </row>
    <row r="222" spans="1:47" ht="14.25" customHeight="1" x14ac:dyDescent="0.3">
      <c r="A222" s="2"/>
      <c r="B222" s="35"/>
      <c r="C222" s="32"/>
      <c r="D222" s="2"/>
      <c r="E222" s="2"/>
      <c r="F222" s="2"/>
      <c r="G222" s="2"/>
      <c r="H222" s="2"/>
      <c r="I222" s="2"/>
      <c r="J222" s="2"/>
      <c r="K222" s="2"/>
      <c r="L222" s="2"/>
      <c r="M222" s="2"/>
      <c r="N222" s="2"/>
      <c r="O222" s="2"/>
      <c r="P222" s="2"/>
      <c r="Q222" s="2"/>
      <c r="R222" s="2"/>
      <c r="S222" s="2"/>
      <c r="T222" s="2"/>
      <c r="U222" s="2"/>
      <c r="V222" s="2"/>
      <c r="W222" s="2"/>
      <c r="X222" s="2"/>
      <c r="Y222" s="2"/>
      <c r="Z222" s="2"/>
      <c r="AA222" s="537"/>
      <c r="AB222" s="45" t="s">
        <v>118</v>
      </c>
      <c r="AC222" s="46">
        <v>75</v>
      </c>
      <c r="AD222" s="46">
        <v>50</v>
      </c>
      <c r="AE222" s="59">
        <v>80</v>
      </c>
      <c r="AF222" s="59">
        <v>50</v>
      </c>
      <c r="AG222" s="2"/>
      <c r="AH222" s="2"/>
      <c r="AI222" s="2"/>
      <c r="AJ222" s="2"/>
      <c r="AK222" s="2"/>
      <c r="AL222" s="2"/>
      <c r="AM222" s="2"/>
      <c r="AN222" s="2"/>
      <c r="AO222" s="2"/>
      <c r="AP222" s="2"/>
      <c r="AQ222" s="2"/>
      <c r="AR222" s="2"/>
      <c r="AS222" s="2"/>
      <c r="AT222" s="2"/>
      <c r="AU222" s="2"/>
    </row>
    <row r="223" spans="1:47" ht="14.25" customHeight="1" x14ac:dyDescent="0.3">
      <c r="A223" s="2"/>
      <c r="B223" s="48"/>
      <c r="C223" s="79"/>
      <c r="D223" s="2"/>
      <c r="E223" s="2"/>
      <c r="F223" s="2"/>
      <c r="G223" s="2"/>
      <c r="H223" s="2"/>
      <c r="I223" s="2"/>
      <c r="J223" s="2"/>
      <c r="K223" s="2"/>
      <c r="L223" s="2"/>
      <c r="M223" s="2"/>
      <c r="N223" s="2"/>
      <c r="O223" s="2"/>
      <c r="P223" s="2"/>
      <c r="Q223" s="2"/>
      <c r="R223" s="2"/>
      <c r="S223" s="2"/>
      <c r="T223" s="2"/>
      <c r="U223" s="2"/>
      <c r="V223" s="2"/>
      <c r="W223" s="2"/>
      <c r="X223" s="2"/>
      <c r="Y223" s="2"/>
      <c r="Z223" s="2"/>
      <c r="AA223" s="538" t="s">
        <v>19</v>
      </c>
      <c r="AB223" s="45" t="s">
        <v>117</v>
      </c>
      <c r="AC223" s="46">
        <v>15</v>
      </c>
      <c r="AD223" s="46">
        <v>8</v>
      </c>
      <c r="AE223" s="47"/>
      <c r="AF223" s="47"/>
      <c r="AG223" s="2"/>
      <c r="AH223" s="2"/>
      <c r="AI223" s="2"/>
      <c r="AJ223" s="2"/>
      <c r="AK223" s="2"/>
      <c r="AL223" s="2"/>
      <c r="AM223" s="2"/>
      <c r="AN223" s="2"/>
      <c r="AO223" s="2"/>
      <c r="AP223" s="2"/>
      <c r="AQ223" s="2"/>
      <c r="AR223" s="2"/>
      <c r="AS223" s="2"/>
      <c r="AT223" s="2"/>
      <c r="AU223" s="2"/>
    </row>
    <row r="224" spans="1:47" ht="14.25" customHeight="1" x14ac:dyDescent="0.3">
      <c r="A224" s="2"/>
      <c r="B224" s="48"/>
      <c r="C224" s="79"/>
      <c r="D224" s="2"/>
      <c r="E224" s="2"/>
      <c r="F224" s="2"/>
      <c r="G224" s="2"/>
      <c r="H224" s="2"/>
      <c r="I224" s="2"/>
      <c r="J224" s="2"/>
      <c r="K224" s="2"/>
      <c r="L224" s="2"/>
      <c r="M224" s="2"/>
      <c r="N224" s="2"/>
      <c r="O224" s="2"/>
      <c r="P224" s="2"/>
      <c r="Q224" s="2"/>
      <c r="R224" s="2"/>
      <c r="S224" s="2"/>
      <c r="T224" s="2"/>
      <c r="U224" s="2"/>
      <c r="V224" s="2"/>
      <c r="W224" s="2"/>
      <c r="X224" s="2"/>
      <c r="Y224" s="2"/>
      <c r="Z224" s="2"/>
      <c r="AA224" s="536"/>
      <c r="AB224" s="45"/>
      <c r="AC224" s="46"/>
      <c r="AD224" s="46"/>
      <c r="AE224" s="47"/>
      <c r="AF224" s="47"/>
      <c r="AG224" s="2"/>
      <c r="AH224" s="2"/>
      <c r="AI224" s="2"/>
      <c r="AJ224" s="2"/>
      <c r="AK224" s="2"/>
      <c r="AL224" s="2"/>
      <c r="AM224" s="2"/>
      <c r="AN224" s="2"/>
      <c r="AO224" s="2"/>
      <c r="AP224" s="2"/>
      <c r="AQ224" s="2"/>
      <c r="AR224" s="2"/>
      <c r="AS224" s="2"/>
      <c r="AT224" s="2"/>
      <c r="AU224" s="2"/>
    </row>
    <row r="225" spans="1:47" ht="14.2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537"/>
      <c r="AB225" s="45" t="s">
        <v>118</v>
      </c>
      <c r="AC225" s="46">
        <v>29</v>
      </c>
      <c r="AD225" s="46">
        <v>19</v>
      </c>
      <c r="AE225" s="59">
        <v>20</v>
      </c>
      <c r="AF225" s="60">
        <v>25</v>
      </c>
      <c r="AG225" s="2"/>
      <c r="AH225" s="2"/>
      <c r="AI225" s="2"/>
      <c r="AJ225" s="2"/>
      <c r="AK225" s="2"/>
      <c r="AL225" s="2"/>
      <c r="AM225" s="2"/>
      <c r="AN225" s="2"/>
      <c r="AO225" s="2"/>
      <c r="AP225" s="2"/>
      <c r="AQ225" s="2"/>
      <c r="AR225" s="2"/>
      <c r="AS225" s="2"/>
      <c r="AT225" s="2"/>
      <c r="AU225" s="2"/>
    </row>
    <row r="226" spans="1:47" ht="13.5" customHeight="1" x14ac:dyDescent="0.3">
      <c r="A226" s="2"/>
      <c r="B226" s="35"/>
      <c r="C226" s="25"/>
      <c r="D226" s="2"/>
      <c r="E226" s="2"/>
      <c r="F226" s="2"/>
      <c r="G226" s="2"/>
      <c r="H226" s="2"/>
      <c r="I226" s="2"/>
      <c r="J226" s="1"/>
      <c r="K226" s="1"/>
      <c r="L226" s="2"/>
      <c r="M226" s="2"/>
      <c r="N226" s="2"/>
      <c r="O226" s="2"/>
      <c r="P226" s="2"/>
      <c r="Q226" s="2"/>
      <c r="R226" s="2"/>
      <c r="S226" s="2"/>
      <c r="T226" s="2"/>
      <c r="U226" s="2"/>
      <c r="V226" s="2"/>
      <c r="W226" s="2"/>
      <c r="X226" s="2"/>
      <c r="Y226" s="2"/>
      <c r="Z226" s="2"/>
      <c r="AA226" s="540" t="s">
        <v>125</v>
      </c>
      <c r="AB226" s="45" t="s">
        <v>117</v>
      </c>
      <c r="AC226" s="46">
        <v>14</v>
      </c>
      <c r="AD226" s="46">
        <v>13</v>
      </c>
      <c r="AE226" s="47"/>
      <c r="AF226" s="47"/>
      <c r="AG226" s="2"/>
      <c r="AH226" s="2"/>
      <c r="AI226" s="2"/>
      <c r="AJ226" s="2"/>
      <c r="AK226" s="2"/>
      <c r="AL226" s="2"/>
      <c r="AM226" s="2"/>
      <c r="AN226" s="2"/>
      <c r="AO226" s="2"/>
      <c r="AP226" s="2"/>
      <c r="AQ226" s="2"/>
      <c r="AR226" s="2"/>
      <c r="AS226" s="2"/>
      <c r="AT226" s="2"/>
      <c r="AU226" s="2"/>
    </row>
    <row r="227" spans="1:47" ht="21.8" customHeight="1" x14ac:dyDescent="0.3">
      <c r="A227" s="2"/>
      <c r="B227" s="35"/>
      <c r="C227" s="2"/>
      <c r="D227" s="2"/>
      <c r="E227" s="2"/>
      <c r="F227" s="2"/>
      <c r="G227" s="2"/>
      <c r="H227" s="2"/>
      <c r="I227" s="2"/>
      <c r="J227" s="2"/>
      <c r="K227" s="2"/>
      <c r="L227" s="2"/>
      <c r="M227" s="2"/>
      <c r="N227" s="2"/>
      <c r="O227" s="2"/>
      <c r="P227" s="2"/>
      <c r="Q227" s="2"/>
      <c r="R227" s="2"/>
      <c r="S227" s="2"/>
      <c r="T227" s="2"/>
      <c r="U227" s="2"/>
      <c r="V227" s="2"/>
      <c r="W227" s="2"/>
      <c r="X227" s="2"/>
      <c r="Y227" s="2"/>
      <c r="Z227" s="2"/>
      <c r="AA227" s="537"/>
      <c r="AB227" s="45" t="s">
        <v>118</v>
      </c>
      <c r="AC227" s="46">
        <v>33</v>
      </c>
      <c r="AD227" s="46">
        <v>15</v>
      </c>
      <c r="AE227" s="59">
        <v>20</v>
      </c>
      <c r="AF227" s="60">
        <v>23</v>
      </c>
      <c r="AG227" s="2"/>
      <c r="AH227" s="2"/>
      <c r="AI227" s="2"/>
      <c r="AJ227" s="2"/>
      <c r="AK227" s="2"/>
      <c r="AL227" s="2"/>
      <c r="AM227" s="2"/>
      <c r="AN227" s="2"/>
      <c r="AO227" s="2"/>
      <c r="AP227" s="2"/>
      <c r="AQ227" s="2"/>
      <c r="AR227" s="2"/>
      <c r="AS227" s="2"/>
      <c r="AT227" s="2"/>
      <c r="AU227" s="2"/>
    </row>
    <row r="228" spans="1:47" ht="21.8" customHeight="1" x14ac:dyDescent="0.3">
      <c r="A228" s="2"/>
      <c r="B228" s="35"/>
      <c r="C228" s="2"/>
      <c r="D228" s="2"/>
      <c r="E228" s="2"/>
      <c r="F228" s="2"/>
      <c r="G228" s="2"/>
      <c r="H228" s="2"/>
      <c r="I228" s="2"/>
      <c r="J228" s="2"/>
      <c r="K228" s="2"/>
      <c r="L228" s="2"/>
      <c r="M228" s="2"/>
      <c r="N228" s="2"/>
      <c r="O228" s="2"/>
      <c r="P228" s="2"/>
      <c r="Q228" s="2"/>
      <c r="R228" s="2"/>
      <c r="S228" s="2"/>
      <c r="T228" s="2"/>
      <c r="U228" s="2"/>
      <c r="V228" s="2"/>
      <c r="W228" s="2"/>
      <c r="X228" s="2"/>
      <c r="Y228" s="2"/>
      <c r="Z228" s="2"/>
      <c r="AA228" s="61"/>
      <c r="AB228" s="62"/>
      <c r="AC228" s="3"/>
      <c r="AD228" s="3"/>
      <c r="AE228" s="63"/>
      <c r="AF228" s="64"/>
      <c r="AG228" s="2"/>
      <c r="AH228" s="2"/>
      <c r="AI228" s="2"/>
      <c r="AJ228" s="2"/>
      <c r="AK228" s="2"/>
      <c r="AL228" s="2"/>
      <c r="AM228" s="2"/>
      <c r="AN228" s="2"/>
      <c r="AO228" s="2"/>
      <c r="AP228" s="2"/>
      <c r="AQ228" s="2"/>
      <c r="AR228" s="2"/>
      <c r="AS228" s="2"/>
      <c r="AT228" s="2"/>
      <c r="AU228" s="2"/>
    </row>
    <row r="229" spans="1:47" ht="14.25" customHeight="1" x14ac:dyDescent="0.3">
      <c r="A229" s="2"/>
      <c r="B229" s="2"/>
      <c r="C229" s="32"/>
      <c r="D229" s="36"/>
      <c r="E229" s="2"/>
      <c r="F229" s="2"/>
      <c r="G229" s="2"/>
      <c r="H229" s="36"/>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row>
    <row r="230" spans="1:47" ht="14.25" customHeight="1" x14ac:dyDescent="0.3">
      <c r="A230" s="2"/>
      <c r="B230" s="2"/>
      <c r="C230" s="32"/>
      <c r="D230" s="36"/>
      <c r="E230" s="2"/>
      <c r="F230" s="2"/>
      <c r="G230" s="2"/>
      <c r="H230" s="36"/>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row>
    <row r="231" spans="1:47" ht="21" customHeight="1" x14ac:dyDescent="0.3">
      <c r="A231" s="2"/>
      <c r="B231" s="35"/>
      <c r="C231" s="3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row>
    <row r="232" spans="1:47" ht="14.25" customHeight="1" x14ac:dyDescent="0.3">
      <c r="A232" s="2"/>
      <c r="B232" s="35"/>
      <c r="C232" s="3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row>
    <row r="233" spans="1:47" ht="14.25" customHeight="1" x14ac:dyDescent="0.3">
      <c r="A233" s="2"/>
      <c r="B233" s="48"/>
      <c r="C233" s="79"/>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row>
    <row r="234" spans="1:47" ht="14.25" customHeight="1" x14ac:dyDescent="0.3">
      <c r="A234" s="2"/>
      <c r="B234" s="48"/>
      <c r="C234" s="79"/>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row>
    <row r="235" spans="1:47" ht="14.2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row>
    <row r="236" spans="1:47" ht="14.2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row>
    <row r="237" spans="1:47" ht="14.2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row>
    <row r="238" spans="1:47" ht="14.2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row>
    <row r="239" spans="1:47" ht="14.2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row>
    <row r="240" spans="1:47" ht="14.2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row>
    <row r="241" spans="1:47" ht="14.2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row>
    <row r="242" spans="1:47" ht="14.2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row>
    <row r="243" spans="1:47" ht="14.2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row>
    <row r="244" spans="1:47" ht="14.2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row>
    <row r="245" spans="1:47" ht="14.2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row>
    <row r="246" spans="1:47" ht="14.2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row>
    <row r="247" spans="1:47" ht="14.2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row>
    <row r="248" spans="1:47" ht="14.2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row>
    <row r="249" spans="1:47" ht="30.05" customHeight="1" x14ac:dyDescent="0.3">
      <c r="A249" s="2"/>
      <c r="B249" s="35"/>
      <c r="C249" s="25"/>
      <c r="D249" s="2"/>
      <c r="E249" s="2"/>
      <c r="F249" s="2"/>
      <c r="G249" s="2"/>
      <c r="H249" s="2"/>
      <c r="I249" s="2"/>
      <c r="J249" s="1"/>
      <c r="K249" s="1"/>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row>
    <row r="250" spans="1:47" ht="14.25" customHeight="1" x14ac:dyDescent="0.3">
      <c r="A250" s="2"/>
      <c r="B250" s="35"/>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row>
    <row r="251" spans="1:47" ht="14.25" customHeight="1" x14ac:dyDescent="0.3">
      <c r="A251" s="2"/>
      <c r="B251" s="2"/>
      <c r="C251" s="2"/>
      <c r="D251" s="36"/>
      <c r="E251" s="2"/>
      <c r="F251" s="2"/>
      <c r="G251" s="2"/>
      <c r="H251" s="36"/>
      <c r="I251" s="2"/>
      <c r="J251" s="2"/>
      <c r="K251" s="2"/>
      <c r="L251" s="2"/>
      <c r="M251" s="2"/>
      <c r="N251" s="2"/>
      <c r="O251" s="2"/>
      <c r="P251" s="2"/>
      <c r="Q251" s="2"/>
      <c r="R251" s="2"/>
      <c r="S251" s="2"/>
      <c r="T251" s="2"/>
      <c r="U251" s="2"/>
      <c r="V251" s="2"/>
      <c r="W251" s="2"/>
      <c r="X251" s="2"/>
      <c r="Y251" s="2"/>
      <c r="Z251" s="2"/>
      <c r="AA251" s="37" t="s">
        <v>165</v>
      </c>
      <c r="AB251" s="38"/>
      <c r="AC251" s="38"/>
      <c r="AD251" s="38"/>
      <c r="AE251" s="38"/>
      <c r="AF251" s="38"/>
      <c r="AG251" s="2"/>
      <c r="AH251" s="2"/>
      <c r="AI251" s="2"/>
      <c r="AJ251" s="2"/>
      <c r="AK251" s="2"/>
      <c r="AL251" s="2"/>
      <c r="AM251" s="2"/>
      <c r="AN251" s="2"/>
      <c r="AO251" s="2"/>
      <c r="AP251" s="2"/>
      <c r="AQ251" s="2"/>
      <c r="AR251" s="2"/>
      <c r="AS251" s="2"/>
      <c r="AT251" s="2"/>
      <c r="AU251" s="2"/>
    </row>
    <row r="252" spans="1:47" ht="14.25" customHeight="1" x14ac:dyDescent="0.3">
      <c r="A252" s="2"/>
      <c r="B252" s="35"/>
      <c r="C252" s="29"/>
      <c r="D252" s="2"/>
      <c r="E252" s="2"/>
      <c r="F252" s="2"/>
      <c r="G252" s="2"/>
      <c r="H252" s="2"/>
      <c r="I252" s="2"/>
      <c r="J252" s="2"/>
      <c r="K252" s="2"/>
      <c r="L252" s="2"/>
      <c r="M252" s="2"/>
      <c r="N252" s="2"/>
      <c r="O252" s="2"/>
      <c r="P252" s="2"/>
      <c r="Q252" s="2"/>
      <c r="R252" s="2"/>
      <c r="S252" s="2"/>
      <c r="T252" s="2"/>
      <c r="U252" s="2"/>
      <c r="V252" s="2"/>
      <c r="W252" s="2"/>
      <c r="X252" s="2"/>
      <c r="Y252" s="2"/>
      <c r="Z252" s="2"/>
      <c r="AA252" s="41" t="s">
        <v>0</v>
      </c>
      <c r="AB252" s="42" t="s">
        <v>115</v>
      </c>
      <c r="AC252" s="42" t="s">
        <v>107</v>
      </c>
      <c r="AD252" s="42" t="s">
        <v>108</v>
      </c>
      <c r="AE252" s="42" t="s">
        <v>109</v>
      </c>
      <c r="AF252" s="42" t="s">
        <v>53</v>
      </c>
      <c r="AG252" s="2"/>
      <c r="AH252" s="2"/>
      <c r="AI252" s="2"/>
      <c r="AJ252" s="2"/>
      <c r="AK252" s="2"/>
      <c r="AL252" s="2"/>
      <c r="AM252" s="2"/>
      <c r="AN252" s="2"/>
      <c r="AO252" s="2"/>
      <c r="AP252" s="2"/>
      <c r="AQ252" s="2"/>
      <c r="AR252" s="2"/>
      <c r="AS252" s="2"/>
      <c r="AT252" s="2"/>
      <c r="AU252" s="2"/>
    </row>
    <row r="253" spans="1:47" ht="14.25" customHeight="1" x14ac:dyDescent="0.3">
      <c r="A253" s="2"/>
      <c r="B253" s="35"/>
      <c r="C253" s="29"/>
      <c r="D253" s="2"/>
      <c r="E253" s="2"/>
      <c r="F253" s="2"/>
      <c r="G253" s="2"/>
      <c r="H253" s="2"/>
      <c r="I253" s="2"/>
      <c r="J253" s="2"/>
      <c r="K253" s="2"/>
      <c r="L253" s="2"/>
      <c r="M253" s="2"/>
      <c r="N253" s="2"/>
      <c r="O253" s="2"/>
      <c r="P253" s="2"/>
      <c r="Q253" s="2"/>
      <c r="R253" s="2"/>
      <c r="S253" s="2"/>
      <c r="T253" s="2"/>
      <c r="U253" s="2"/>
      <c r="V253" s="2"/>
      <c r="W253" s="2"/>
      <c r="X253" s="2"/>
      <c r="Y253" s="2"/>
      <c r="Z253" s="2"/>
      <c r="AA253" s="43"/>
      <c r="AB253" s="42"/>
      <c r="AC253" s="42"/>
      <c r="AD253" s="42"/>
      <c r="AE253" s="42"/>
      <c r="AF253" s="42"/>
      <c r="AG253" s="2"/>
      <c r="AH253" s="2"/>
      <c r="AI253" s="2"/>
      <c r="AJ253" s="2"/>
      <c r="AK253" s="2"/>
      <c r="AL253" s="2"/>
      <c r="AM253" s="2"/>
      <c r="AN253" s="2"/>
      <c r="AO253" s="2"/>
      <c r="AP253" s="2"/>
      <c r="AQ253" s="2"/>
      <c r="AR253" s="2"/>
      <c r="AS253" s="2"/>
      <c r="AT253" s="2"/>
      <c r="AU253" s="2"/>
    </row>
    <row r="254" spans="1:47" ht="14.25" customHeight="1" x14ac:dyDescent="0.3">
      <c r="A254" s="2"/>
      <c r="B254" s="35"/>
      <c r="C254" s="32"/>
      <c r="D254" s="2"/>
      <c r="E254" s="2"/>
      <c r="F254" s="2"/>
      <c r="G254" s="2"/>
      <c r="H254" s="2"/>
      <c r="I254" s="2"/>
      <c r="J254" s="2"/>
      <c r="K254" s="2"/>
      <c r="L254" s="2"/>
      <c r="M254" s="2"/>
      <c r="N254" s="2"/>
      <c r="O254" s="2"/>
      <c r="P254" s="2"/>
      <c r="Q254" s="2"/>
      <c r="R254" s="2"/>
      <c r="S254" s="2"/>
      <c r="T254" s="2"/>
      <c r="U254" s="2"/>
      <c r="V254" s="2"/>
      <c r="W254" s="44"/>
      <c r="X254" s="2"/>
      <c r="Y254" s="2"/>
      <c r="Z254" s="2"/>
      <c r="AA254" s="535" t="s">
        <v>116</v>
      </c>
      <c r="AB254" s="45" t="s">
        <v>117</v>
      </c>
      <c r="AC254" s="46">
        <v>12</v>
      </c>
      <c r="AD254" s="46">
        <v>13</v>
      </c>
      <c r="AE254" s="47"/>
      <c r="AF254" s="47"/>
      <c r="AG254" s="2"/>
      <c r="AH254" s="2"/>
      <c r="AI254" s="2"/>
      <c r="AJ254" s="2"/>
      <c r="AK254" s="2"/>
      <c r="AL254" s="2"/>
      <c r="AM254" s="2"/>
      <c r="AN254" s="2"/>
      <c r="AO254" s="2"/>
      <c r="AP254" s="2"/>
      <c r="AQ254" s="2"/>
      <c r="AR254" s="2"/>
      <c r="AS254" s="2"/>
      <c r="AT254" s="2"/>
      <c r="AU254" s="2"/>
    </row>
    <row r="255" spans="1:47" ht="14.25" customHeight="1" x14ac:dyDescent="0.3">
      <c r="A255" s="2"/>
      <c r="B255" s="48"/>
      <c r="C255" s="79"/>
      <c r="D255" s="2"/>
      <c r="E255" s="2"/>
      <c r="F255" s="2"/>
      <c r="G255" s="2"/>
      <c r="H255" s="2"/>
      <c r="I255" s="2"/>
      <c r="J255" s="2"/>
      <c r="K255" s="2"/>
      <c r="L255" s="2"/>
      <c r="M255" s="2"/>
      <c r="N255" s="2"/>
      <c r="O255" s="2"/>
      <c r="P255" s="2"/>
      <c r="Q255" s="2"/>
      <c r="R255" s="2"/>
      <c r="S255" s="2"/>
      <c r="T255" s="2"/>
      <c r="U255" s="2"/>
      <c r="V255" s="2"/>
      <c r="W255" s="2"/>
      <c r="X255" s="2"/>
      <c r="Y255" s="2"/>
      <c r="Z255" s="2"/>
      <c r="AA255" s="536"/>
      <c r="AB255" s="45"/>
      <c r="AC255" s="46"/>
      <c r="AD255" s="46"/>
      <c r="AE255" s="47"/>
      <c r="AF255" s="47"/>
      <c r="AG255" s="2"/>
      <c r="AH255" s="2"/>
      <c r="AI255" s="2"/>
      <c r="AJ255" s="2"/>
      <c r="AK255" s="2"/>
      <c r="AL255" s="2"/>
      <c r="AM255" s="2"/>
      <c r="AN255" s="2"/>
      <c r="AO255" s="2"/>
      <c r="AP255" s="2"/>
      <c r="AQ255" s="2"/>
      <c r="AR255" s="2"/>
      <c r="AS255" s="2"/>
      <c r="AT255" s="2"/>
      <c r="AU255" s="2"/>
    </row>
    <row r="256" spans="1:47" ht="14.25" customHeight="1" x14ac:dyDescent="0.3">
      <c r="A256" s="2"/>
      <c r="B256" s="2"/>
      <c r="C256" s="25"/>
      <c r="D256" s="2"/>
      <c r="E256" s="2"/>
      <c r="F256" s="2"/>
      <c r="G256" s="2"/>
      <c r="H256" s="2"/>
      <c r="I256" s="2"/>
      <c r="J256" s="2"/>
      <c r="K256" s="2"/>
      <c r="L256" s="2"/>
      <c r="M256" s="2"/>
      <c r="N256" s="2"/>
      <c r="O256" s="2"/>
      <c r="P256" s="2"/>
      <c r="Q256" s="2"/>
      <c r="R256" s="2"/>
      <c r="S256" s="2"/>
      <c r="T256" s="2"/>
      <c r="U256" s="2"/>
      <c r="V256" s="2"/>
      <c r="W256" s="2"/>
      <c r="X256" s="2"/>
      <c r="Y256" s="2"/>
      <c r="Z256" s="2"/>
      <c r="AA256" s="537"/>
      <c r="AB256" s="45" t="s">
        <v>118</v>
      </c>
      <c r="AC256" s="46">
        <v>21</v>
      </c>
      <c r="AD256" s="46">
        <v>34</v>
      </c>
      <c r="AE256" s="51">
        <v>20</v>
      </c>
      <c r="AF256" s="52">
        <v>31</v>
      </c>
      <c r="AG256" s="2"/>
      <c r="AH256" s="2"/>
      <c r="AI256" s="2"/>
      <c r="AJ256" s="2"/>
      <c r="AK256" s="2"/>
      <c r="AL256" s="2"/>
      <c r="AM256" s="2"/>
      <c r="AN256" s="2"/>
      <c r="AO256" s="2"/>
      <c r="AP256" s="2"/>
      <c r="AQ256" s="2"/>
      <c r="AR256" s="2"/>
      <c r="AS256" s="2"/>
      <c r="AT256" s="2"/>
      <c r="AU256" s="2"/>
    </row>
    <row r="257" spans="1:47" ht="14.25" customHeight="1" x14ac:dyDescent="0.3">
      <c r="A257" s="2"/>
      <c r="B257" s="2"/>
      <c r="C257" s="25"/>
      <c r="D257" s="2"/>
      <c r="E257" s="2"/>
      <c r="F257" s="2"/>
      <c r="G257" s="2"/>
      <c r="H257" s="2"/>
      <c r="I257" s="2"/>
      <c r="J257" s="2"/>
      <c r="K257" s="2"/>
      <c r="L257" s="2"/>
      <c r="M257" s="2"/>
      <c r="N257" s="2"/>
      <c r="O257" s="2"/>
      <c r="P257" s="2"/>
      <c r="Q257" s="2"/>
      <c r="R257" s="2"/>
      <c r="S257" s="2"/>
      <c r="T257" s="2"/>
      <c r="U257" s="2"/>
      <c r="V257" s="2"/>
      <c r="W257" s="2"/>
      <c r="X257" s="2"/>
      <c r="Y257" s="2"/>
      <c r="Z257" s="2"/>
      <c r="AA257" s="53"/>
      <c r="AB257" s="45"/>
      <c r="AC257" s="46"/>
      <c r="AD257" s="46"/>
      <c r="AE257" s="51"/>
      <c r="AF257" s="52"/>
      <c r="AG257" s="2"/>
      <c r="AH257" s="2"/>
      <c r="AI257" s="2"/>
      <c r="AJ257" s="2"/>
      <c r="AK257" s="2"/>
      <c r="AL257" s="2"/>
      <c r="AM257" s="2"/>
      <c r="AN257" s="2"/>
      <c r="AO257" s="2"/>
      <c r="AP257" s="2"/>
      <c r="AQ257" s="2"/>
      <c r="AR257" s="2"/>
      <c r="AS257" s="2"/>
      <c r="AT257" s="2"/>
      <c r="AU257" s="2"/>
    </row>
    <row r="258" spans="1:47" ht="14.25" customHeight="1" x14ac:dyDescent="0.3">
      <c r="A258" s="2"/>
      <c r="B258" s="2"/>
      <c r="C258" s="25"/>
      <c r="D258" s="2"/>
      <c r="E258" s="2"/>
      <c r="F258" s="2"/>
      <c r="G258" s="2"/>
      <c r="H258" s="2"/>
      <c r="I258" s="2"/>
      <c r="J258" s="2"/>
      <c r="K258" s="2"/>
      <c r="L258" s="2"/>
      <c r="M258" s="2"/>
      <c r="N258" s="2"/>
      <c r="O258" s="2"/>
      <c r="P258" s="2"/>
      <c r="Q258" s="2"/>
      <c r="R258" s="2"/>
      <c r="S258" s="2"/>
      <c r="T258" s="2"/>
      <c r="U258" s="2"/>
      <c r="V258" s="2"/>
      <c r="W258" s="2"/>
      <c r="X258" s="2"/>
      <c r="Y258" s="2"/>
      <c r="Z258" s="2"/>
      <c r="AA258" s="538" t="s">
        <v>4</v>
      </c>
      <c r="AB258" s="45" t="s">
        <v>117</v>
      </c>
      <c r="AC258" s="46">
        <v>40</v>
      </c>
      <c r="AD258" s="46">
        <v>37</v>
      </c>
      <c r="AE258" s="54"/>
      <c r="AF258" s="54"/>
      <c r="AG258" s="2"/>
      <c r="AH258" s="2"/>
      <c r="AI258" s="2"/>
      <c r="AJ258" s="2"/>
      <c r="AK258" s="2"/>
      <c r="AL258" s="2"/>
      <c r="AM258" s="2"/>
      <c r="AN258" s="2"/>
      <c r="AO258" s="2"/>
      <c r="AP258" s="2"/>
      <c r="AQ258" s="2"/>
      <c r="AR258" s="2"/>
      <c r="AS258" s="2"/>
      <c r="AT258" s="2"/>
      <c r="AU258" s="2"/>
    </row>
    <row r="259" spans="1:47" ht="14.2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536"/>
      <c r="AB259" s="45"/>
      <c r="AC259" s="46"/>
      <c r="AD259" s="46"/>
      <c r="AE259" s="54"/>
      <c r="AF259" s="54"/>
      <c r="AG259" s="2"/>
      <c r="AH259" s="2"/>
      <c r="AI259" s="2"/>
      <c r="AJ259" s="2"/>
      <c r="AK259" s="2"/>
      <c r="AL259" s="2"/>
      <c r="AM259" s="2"/>
      <c r="AN259" s="2"/>
      <c r="AO259" s="2"/>
      <c r="AP259" s="2"/>
      <c r="AQ259" s="2"/>
      <c r="AR259" s="2"/>
      <c r="AS259" s="2"/>
      <c r="AT259" s="2"/>
      <c r="AU259" s="2"/>
    </row>
    <row r="260" spans="1:47" ht="18.8" customHeight="1" x14ac:dyDescent="0.3">
      <c r="A260" s="2"/>
      <c r="B260" s="2"/>
      <c r="C260" s="2"/>
      <c r="D260" s="36"/>
      <c r="E260" s="2"/>
      <c r="F260" s="2"/>
      <c r="G260" s="2"/>
      <c r="H260" s="36"/>
      <c r="I260" s="2"/>
      <c r="J260" s="2"/>
      <c r="K260" s="2"/>
      <c r="L260" s="2"/>
      <c r="M260" s="2"/>
      <c r="N260" s="2"/>
      <c r="O260" s="2"/>
      <c r="P260" s="2"/>
      <c r="Q260" s="2"/>
      <c r="R260" s="2"/>
      <c r="S260" s="2"/>
      <c r="T260" s="2"/>
      <c r="U260" s="2"/>
      <c r="V260" s="2"/>
      <c r="W260" s="2"/>
      <c r="X260" s="2"/>
      <c r="Y260" s="2"/>
      <c r="Z260" s="2"/>
      <c r="AA260" s="537"/>
      <c r="AB260" s="45" t="s">
        <v>118</v>
      </c>
      <c r="AC260" s="46">
        <v>75</v>
      </c>
      <c r="AD260" s="46">
        <v>73</v>
      </c>
      <c r="AE260" s="46">
        <v>80</v>
      </c>
      <c r="AF260" s="46">
        <v>60</v>
      </c>
      <c r="AG260" s="2"/>
      <c r="AH260" s="2"/>
      <c r="AI260" s="2"/>
      <c r="AJ260" s="2"/>
      <c r="AK260" s="2"/>
      <c r="AL260" s="2"/>
      <c r="AM260" s="2"/>
      <c r="AN260" s="2"/>
      <c r="AO260" s="2"/>
      <c r="AP260" s="2"/>
      <c r="AQ260" s="2"/>
      <c r="AR260" s="2"/>
      <c r="AS260" s="2"/>
      <c r="AT260" s="2"/>
      <c r="AU260" s="2"/>
    </row>
    <row r="261" spans="1:47" ht="15.05" customHeight="1" x14ac:dyDescent="0.3">
      <c r="A261" s="2"/>
      <c r="B261" s="35"/>
      <c r="C261" s="29"/>
      <c r="D261" s="2"/>
      <c r="E261" s="2"/>
      <c r="F261" s="2"/>
      <c r="G261" s="2"/>
      <c r="H261" s="2"/>
      <c r="I261" s="2"/>
      <c r="J261" s="2"/>
      <c r="K261" s="2"/>
      <c r="L261" s="2"/>
      <c r="M261" s="2"/>
      <c r="N261" s="2"/>
      <c r="O261" s="2"/>
      <c r="P261" s="2"/>
      <c r="Q261" s="2"/>
      <c r="R261" s="2"/>
      <c r="S261" s="2"/>
      <c r="T261" s="2"/>
      <c r="U261" s="2"/>
      <c r="V261" s="2"/>
      <c r="W261" s="2"/>
      <c r="X261" s="2"/>
      <c r="Y261" s="2"/>
      <c r="Z261" s="2"/>
      <c r="AA261" s="539" t="s">
        <v>119</v>
      </c>
      <c r="AB261" s="45" t="s">
        <v>117</v>
      </c>
      <c r="AC261" s="46">
        <v>52</v>
      </c>
      <c r="AD261" s="46">
        <v>25</v>
      </c>
      <c r="AE261" s="47"/>
      <c r="AF261" s="47"/>
      <c r="AG261" s="2"/>
      <c r="AH261" s="2"/>
      <c r="AI261" s="2"/>
      <c r="AJ261" s="2"/>
      <c r="AK261" s="2"/>
      <c r="AL261" s="2"/>
      <c r="AM261" s="2"/>
      <c r="AN261" s="2"/>
      <c r="AO261" s="2"/>
      <c r="AP261" s="2"/>
      <c r="AQ261" s="2"/>
      <c r="AR261" s="2"/>
      <c r="AS261" s="2"/>
      <c r="AT261" s="2"/>
      <c r="AU261" s="2"/>
    </row>
    <row r="262" spans="1:47" ht="21" customHeight="1" x14ac:dyDescent="0.3">
      <c r="A262" s="2"/>
      <c r="B262" s="35"/>
      <c r="C262" s="32"/>
      <c r="D262" s="2"/>
      <c r="E262" s="2"/>
      <c r="F262" s="2"/>
      <c r="G262" s="2"/>
      <c r="H262" s="2"/>
      <c r="I262" s="2"/>
      <c r="J262" s="2"/>
      <c r="K262" s="2"/>
      <c r="L262" s="2"/>
      <c r="M262" s="2"/>
      <c r="N262" s="2"/>
      <c r="O262" s="2"/>
      <c r="P262" s="2"/>
      <c r="Q262" s="2"/>
      <c r="R262" s="2"/>
      <c r="S262" s="2"/>
      <c r="T262" s="2"/>
      <c r="U262" s="2"/>
      <c r="V262" s="2"/>
      <c r="W262" s="2"/>
      <c r="X262" s="2"/>
      <c r="Y262" s="2"/>
      <c r="Z262" s="2"/>
      <c r="AA262" s="537"/>
      <c r="AB262" s="45" t="s">
        <v>118</v>
      </c>
      <c r="AC262" s="46">
        <v>79</v>
      </c>
      <c r="AD262" s="46">
        <v>59</v>
      </c>
      <c r="AE262" s="51">
        <v>70</v>
      </c>
      <c r="AF262" s="55">
        <v>82</v>
      </c>
      <c r="AG262" s="2"/>
      <c r="AH262" s="2"/>
      <c r="AI262" s="2"/>
      <c r="AJ262" s="2"/>
      <c r="AK262" s="2"/>
      <c r="AL262" s="2"/>
      <c r="AM262" s="2"/>
      <c r="AN262" s="2"/>
      <c r="AO262" s="2"/>
      <c r="AP262" s="2"/>
      <c r="AQ262" s="2"/>
      <c r="AR262" s="2"/>
      <c r="AS262" s="2"/>
      <c r="AT262" s="2"/>
      <c r="AU262" s="2"/>
    </row>
    <row r="263" spans="1:47" ht="21" customHeight="1" x14ac:dyDescent="0.3">
      <c r="A263" s="2"/>
      <c r="B263" s="35"/>
      <c r="C263" s="32"/>
      <c r="D263" s="2"/>
      <c r="E263" s="2"/>
      <c r="F263" s="2"/>
      <c r="G263" s="2"/>
      <c r="H263" s="2"/>
      <c r="I263" s="2"/>
      <c r="J263" s="2"/>
      <c r="K263" s="2"/>
      <c r="L263" s="2"/>
      <c r="M263" s="2"/>
      <c r="N263" s="2"/>
      <c r="O263" s="2"/>
      <c r="P263" s="2"/>
      <c r="Q263" s="2"/>
      <c r="R263" s="2"/>
      <c r="S263" s="2"/>
      <c r="T263" s="2"/>
      <c r="U263" s="2"/>
      <c r="V263" s="2"/>
      <c r="W263" s="2"/>
      <c r="X263" s="2"/>
      <c r="Y263" s="2"/>
      <c r="Z263" s="2"/>
      <c r="AA263" s="56"/>
      <c r="AB263" s="45"/>
      <c r="AC263" s="46"/>
      <c r="AD263" s="46"/>
      <c r="AE263" s="51"/>
      <c r="AF263" s="55"/>
      <c r="AG263" s="2"/>
      <c r="AH263" s="2"/>
      <c r="AI263" s="2"/>
      <c r="AJ263" s="2"/>
      <c r="AK263" s="2"/>
      <c r="AL263" s="2"/>
      <c r="AM263" s="2"/>
      <c r="AN263" s="2"/>
      <c r="AO263" s="2"/>
      <c r="AP263" s="2"/>
      <c r="AQ263" s="2"/>
      <c r="AR263" s="2"/>
      <c r="AS263" s="2"/>
      <c r="AT263" s="2"/>
      <c r="AU263" s="2"/>
    </row>
    <row r="264" spans="1:47" ht="15.85" customHeight="1" x14ac:dyDescent="0.3">
      <c r="A264" s="2"/>
      <c r="B264" s="48"/>
      <c r="C264" s="79"/>
      <c r="D264" s="2"/>
      <c r="E264" s="2"/>
      <c r="F264" s="2"/>
      <c r="G264" s="2"/>
      <c r="H264" s="2"/>
      <c r="I264" s="2"/>
      <c r="J264" s="2"/>
      <c r="K264" s="2"/>
      <c r="L264" s="2"/>
      <c r="M264" s="2"/>
      <c r="N264" s="2"/>
      <c r="O264" s="2"/>
      <c r="P264" s="2"/>
      <c r="Q264" s="2"/>
      <c r="R264" s="2"/>
      <c r="S264" s="2"/>
      <c r="T264" s="2"/>
      <c r="U264" s="2"/>
      <c r="V264" s="2"/>
      <c r="W264" s="2"/>
      <c r="X264" s="2"/>
      <c r="Y264" s="2"/>
      <c r="Z264" s="2"/>
      <c r="AA264" s="538" t="s">
        <v>120</v>
      </c>
      <c r="AB264" s="45" t="s">
        <v>117</v>
      </c>
      <c r="AC264" s="46">
        <v>60</v>
      </c>
      <c r="AD264" s="46">
        <v>24</v>
      </c>
      <c r="AE264" s="47"/>
      <c r="AF264" s="47"/>
      <c r="AG264" s="2"/>
      <c r="AH264" s="2"/>
      <c r="AI264" s="2"/>
      <c r="AJ264" s="2"/>
      <c r="AK264" s="2"/>
      <c r="AL264" s="2"/>
      <c r="AM264" s="2"/>
      <c r="AN264" s="2"/>
      <c r="AO264" s="2"/>
      <c r="AP264" s="2"/>
      <c r="AQ264" s="2"/>
      <c r="AR264" s="2"/>
      <c r="AS264" s="2"/>
      <c r="AT264" s="2"/>
      <c r="AU264" s="2"/>
    </row>
    <row r="265" spans="1:47" ht="14.25" customHeight="1" x14ac:dyDescent="0.3">
      <c r="A265" s="2"/>
      <c r="B265" s="2"/>
      <c r="C265" s="25"/>
      <c r="D265" s="2"/>
      <c r="E265" s="2"/>
      <c r="F265" s="2"/>
      <c r="G265" s="2"/>
      <c r="H265" s="2"/>
      <c r="I265" s="2"/>
      <c r="J265" s="2"/>
      <c r="K265" s="2"/>
      <c r="L265" s="2"/>
      <c r="M265" s="2"/>
      <c r="N265" s="2"/>
      <c r="O265" s="2"/>
      <c r="P265" s="2"/>
      <c r="Q265" s="2"/>
      <c r="R265" s="2"/>
      <c r="S265" s="2"/>
      <c r="T265" s="2"/>
      <c r="U265" s="2"/>
      <c r="V265" s="2"/>
      <c r="W265" s="2"/>
      <c r="X265" s="2"/>
      <c r="Y265" s="2"/>
      <c r="Z265" s="2"/>
      <c r="AA265" s="537"/>
      <c r="AB265" s="45" t="s">
        <v>118</v>
      </c>
      <c r="AC265" s="46">
        <v>90</v>
      </c>
      <c r="AD265" s="46">
        <v>60</v>
      </c>
      <c r="AE265" s="45">
        <v>75</v>
      </c>
      <c r="AF265" s="45">
        <v>56</v>
      </c>
      <c r="AG265" s="2"/>
      <c r="AH265" s="2"/>
      <c r="AI265" s="2"/>
      <c r="AJ265" s="2"/>
      <c r="AK265" s="2"/>
      <c r="AL265" s="2"/>
      <c r="AM265" s="2"/>
      <c r="AN265" s="2"/>
      <c r="AO265" s="2"/>
      <c r="AP265" s="2"/>
      <c r="AQ265" s="2"/>
      <c r="AR265" s="2"/>
      <c r="AS265" s="2"/>
      <c r="AT265" s="2"/>
      <c r="AU265" s="2"/>
    </row>
    <row r="266" spans="1:47" ht="14.2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538" t="s">
        <v>122</v>
      </c>
      <c r="AB266" s="45" t="s">
        <v>117</v>
      </c>
      <c r="AC266" s="46">
        <v>27</v>
      </c>
      <c r="AD266" s="46">
        <v>19</v>
      </c>
      <c r="AE266" s="47"/>
      <c r="AF266" s="47"/>
      <c r="AG266" s="2"/>
      <c r="AH266" s="2"/>
      <c r="AI266" s="2"/>
      <c r="AJ266" s="2"/>
      <c r="AK266" s="2"/>
      <c r="AL266" s="2"/>
      <c r="AM266" s="2"/>
      <c r="AN266" s="2"/>
      <c r="AO266" s="2"/>
      <c r="AP266" s="2"/>
      <c r="AQ266" s="2"/>
      <c r="AR266" s="2"/>
      <c r="AS266" s="2"/>
      <c r="AT266" s="2"/>
      <c r="AU266" s="2"/>
    </row>
    <row r="267" spans="1:47" ht="14.2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536"/>
      <c r="AB267" s="45"/>
      <c r="AC267" s="46"/>
      <c r="AD267" s="46"/>
      <c r="AE267" s="47"/>
      <c r="AF267" s="47"/>
      <c r="AG267" s="2"/>
      <c r="AH267" s="2"/>
      <c r="AI267" s="2"/>
      <c r="AJ267" s="2"/>
      <c r="AK267" s="2"/>
      <c r="AL267" s="2"/>
      <c r="AM267" s="2"/>
      <c r="AN267" s="2"/>
      <c r="AO267" s="2"/>
      <c r="AP267" s="2"/>
      <c r="AQ267" s="2"/>
      <c r="AR267" s="2"/>
      <c r="AS267" s="2"/>
      <c r="AT267" s="2"/>
      <c r="AU267" s="2"/>
    </row>
    <row r="268" spans="1:47" ht="14.2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537"/>
      <c r="AB268" s="45" t="s">
        <v>118</v>
      </c>
      <c r="AC268" s="46">
        <v>35</v>
      </c>
      <c r="AD268" s="46">
        <v>24</v>
      </c>
      <c r="AE268" s="45">
        <v>45</v>
      </c>
      <c r="AF268" s="45">
        <v>26</v>
      </c>
      <c r="AG268" s="2"/>
      <c r="AH268" s="2"/>
      <c r="AI268" s="2"/>
      <c r="AJ268" s="2"/>
      <c r="AK268" s="2"/>
      <c r="AL268" s="2"/>
      <c r="AM268" s="2"/>
      <c r="AN268" s="2"/>
      <c r="AO268" s="2"/>
      <c r="AP268" s="2"/>
      <c r="AQ268" s="2"/>
      <c r="AR268" s="2"/>
      <c r="AS268" s="2"/>
      <c r="AT268" s="2"/>
      <c r="AU268" s="2"/>
    </row>
    <row r="269" spans="1:47" ht="14.25" customHeight="1" x14ac:dyDescent="0.3">
      <c r="A269" s="2"/>
      <c r="B269" s="2"/>
      <c r="C269" s="2"/>
      <c r="D269" s="36"/>
      <c r="E269" s="2"/>
      <c r="F269" s="2"/>
      <c r="G269" s="2"/>
      <c r="H269" s="36"/>
      <c r="I269" s="2"/>
      <c r="J269" s="2"/>
      <c r="K269" s="2"/>
      <c r="L269" s="2"/>
      <c r="M269" s="2"/>
      <c r="N269" s="2"/>
      <c r="O269" s="2"/>
      <c r="P269" s="2"/>
      <c r="Q269" s="2"/>
      <c r="R269" s="2"/>
      <c r="S269" s="2"/>
      <c r="T269" s="2"/>
      <c r="U269" s="2"/>
      <c r="V269" s="2"/>
      <c r="W269" s="2"/>
      <c r="X269" s="2"/>
      <c r="Y269" s="2"/>
      <c r="Z269" s="2"/>
      <c r="AA269" s="53"/>
      <c r="AB269" s="45"/>
      <c r="AC269" s="46"/>
      <c r="AD269" s="46"/>
      <c r="AE269" s="45"/>
      <c r="AF269" s="45"/>
      <c r="AG269" s="2"/>
      <c r="AH269" s="2"/>
      <c r="AI269" s="2"/>
      <c r="AJ269" s="2"/>
      <c r="AK269" s="2"/>
      <c r="AL269" s="2"/>
      <c r="AM269" s="2"/>
      <c r="AN269" s="2"/>
      <c r="AO269" s="2"/>
      <c r="AP269" s="2"/>
      <c r="AQ269" s="2"/>
      <c r="AR269" s="2"/>
      <c r="AS269" s="2"/>
      <c r="AT269" s="2"/>
      <c r="AU269" s="2"/>
    </row>
    <row r="270" spans="1:47" ht="14.25" customHeight="1" x14ac:dyDescent="0.3">
      <c r="A270" s="2"/>
      <c r="B270" s="35"/>
      <c r="C270" s="29"/>
      <c r="D270" s="2"/>
      <c r="E270" s="2"/>
      <c r="F270" s="2"/>
      <c r="G270" s="2"/>
      <c r="H270" s="2"/>
      <c r="I270" s="2"/>
      <c r="J270" s="2"/>
      <c r="K270" s="2"/>
      <c r="L270" s="2"/>
      <c r="M270" s="2"/>
      <c r="N270" s="2"/>
      <c r="O270" s="2"/>
      <c r="P270" s="2"/>
      <c r="Q270" s="2"/>
      <c r="R270" s="2"/>
      <c r="S270" s="2"/>
      <c r="T270" s="2"/>
      <c r="U270" s="2"/>
      <c r="V270" s="2"/>
      <c r="W270" s="2"/>
      <c r="X270" s="2"/>
      <c r="Y270" s="2"/>
      <c r="Z270" s="2"/>
      <c r="AA270" s="538" t="s">
        <v>21</v>
      </c>
      <c r="AB270" s="45" t="s">
        <v>117</v>
      </c>
      <c r="AC270" s="46">
        <v>19</v>
      </c>
      <c r="AD270" s="46">
        <v>17</v>
      </c>
      <c r="AE270" s="47"/>
      <c r="AF270" s="47"/>
      <c r="AG270" s="2"/>
      <c r="AH270" s="2"/>
      <c r="AI270" s="2"/>
      <c r="AJ270" s="2"/>
      <c r="AK270" s="2"/>
      <c r="AL270" s="2"/>
      <c r="AM270" s="2"/>
      <c r="AN270" s="2"/>
      <c r="AO270" s="2"/>
      <c r="AP270" s="2"/>
      <c r="AQ270" s="2"/>
      <c r="AR270" s="2"/>
      <c r="AS270" s="2"/>
      <c r="AT270" s="2"/>
      <c r="AU270" s="2"/>
    </row>
    <row r="271" spans="1:47" ht="14.25" customHeight="1" x14ac:dyDescent="0.3">
      <c r="A271" s="2"/>
      <c r="B271" s="35"/>
      <c r="C271" s="32"/>
      <c r="D271" s="2"/>
      <c r="E271" s="2"/>
      <c r="F271" s="2"/>
      <c r="G271" s="2"/>
      <c r="H271" s="2"/>
      <c r="I271" s="2"/>
      <c r="J271" s="2"/>
      <c r="K271" s="2"/>
      <c r="L271" s="2"/>
      <c r="M271" s="2"/>
      <c r="N271" s="2"/>
      <c r="O271" s="2"/>
      <c r="P271" s="2"/>
      <c r="Q271" s="2"/>
      <c r="R271" s="2"/>
      <c r="S271" s="2"/>
      <c r="T271" s="2"/>
      <c r="U271" s="2"/>
      <c r="V271" s="2"/>
      <c r="W271" s="2"/>
      <c r="X271" s="2"/>
      <c r="Y271" s="2"/>
      <c r="Z271" s="2"/>
      <c r="AA271" s="537"/>
      <c r="AB271" s="45" t="s">
        <v>118</v>
      </c>
      <c r="AC271" s="46">
        <v>75</v>
      </c>
      <c r="AD271" s="46">
        <v>50</v>
      </c>
      <c r="AE271" s="59">
        <v>80</v>
      </c>
      <c r="AF271" s="59">
        <v>50</v>
      </c>
      <c r="AG271" s="2"/>
      <c r="AH271" s="2"/>
      <c r="AI271" s="2"/>
      <c r="AJ271" s="2"/>
      <c r="AK271" s="2"/>
      <c r="AL271" s="2"/>
      <c r="AM271" s="2"/>
      <c r="AN271" s="2"/>
      <c r="AO271" s="2"/>
      <c r="AP271" s="2"/>
      <c r="AQ271" s="2"/>
      <c r="AR271" s="2"/>
      <c r="AS271" s="2"/>
      <c r="AT271" s="2"/>
      <c r="AU271" s="2"/>
    </row>
    <row r="272" spans="1:47" ht="14.25" customHeight="1" x14ac:dyDescent="0.3">
      <c r="A272" s="2"/>
      <c r="B272" s="48"/>
      <c r="C272" s="79"/>
      <c r="D272" s="2"/>
      <c r="E272" s="2"/>
      <c r="F272" s="2"/>
      <c r="G272" s="2"/>
      <c r="H272" s="2"/>
      <c r="I272" s="2"/>
      <c r="J272" s="2"/>
      <c r="K272" s="2"/>
      <c r="L272" s="2"/>
      <c r="M272" s="2"/>
      <c r="N272" s="2"/>
      <c r="O272" s="2"/>
      <c r="P272" s="2"/>
      <c r="Q272" s="2"/>
      <c r="R272" s="2"/>
      <c r="S272" s="2"/>
      <c r="T272" s="2"/>
      <c r="U272" s="2"/>
      <c r="V272" s="2"/>
      <c r="W272" s="2"/>
      <c r="X272" s="2"/>
      <c r="Y272" s="2"/>
      <c r="Z272" s="2"/>
      <c r="AA272" s="538" t="s">
        <v>19</v>
      </c>
      <c r="AB272" s="45" t="s">
        <v>117</v>
      </c>
      <c r="AC272" s="46">
        <v>15</v>
      </c>
      <c r="AD272" s="46">
        <v>8</v>
      </c>
      <c r="AE272" s="47"/>
      <c r="AF272" s="47"/>
      <c r="AG272" s="2"/>
      <c r="AH272" s="2"/>
      <c r="AI272" s="2"/>
      <c r="AJ272" s="2"/>
      <c r="AK272" s="2"/>
      <c r="AL272" s="2"/>
      <c r="AM272" s="2"/>
      <c r="AN272" s="2"/>
      <c r="AO272" s="2"/>
      <c r="AP272" s="2"/>
      <c r="AQ272" s="2"/>
      <c r="AR272" s="2"/>
      <c r="AS272" s="2"/>
      <c r="AT272" s="2"/>
      <c r="AU272" s="2"/>
    </row>
    <row r="273" spans="1:47" ht="14.25" customHeight="1" x14ac:dyDescent="0.3">
      <c r="A273" s="2"/>
      <c r="B273" s="48"/>
      <c r="C273" s="79"/>
      <c r="D273" s="2"/>
      <c r="E273" s="2"/>
      <c r="F273" s="2"/>
      <c r="G273" s="2"/>
      <c r="H273" s="2"/>
      <c r="I273" s="2"/>
      <c r="J273" s="2"/>
      <c r="K273" s="2"/>
      <c r="L273" s="2"/>
      <c r="M273" s="2"/>
      <c r="N273" s="2"/>
      <c r="O273" s="2"/>
      <c r="P273" s="2"/>
      <c r="Q273" s="2"/>
      <c r="R273" s="2"/>
      <c r="S273" s="2"/>
      <c r="T273" s="2"/>
      <c r="U273" s="2"/>
      <c r="V273" s="2"/>
      <c r="W273" s="2"/>
      <c r="X273" s="2"/>
      <c r="Y273" s="2"/>
      <c r="Z273" s="2"/>
      <c r="AA273" s="536"/>
      <c r="AB273" s="45"/>
      <c r="AC273" s="46"/>
      <c r="AD273" s="46"/>
      <c r="AE273" s="47"/>
      <c r="AF273" s="47"/>
      <c r="AG273" s="2"/>
      <c r="AH273" s="2"/>
      <c r="AI273" s="2"/>
      <c r="AJ273" s="2"/>
      <c r="AK273" s="2"/>
      <c r="AL273" s="2"/>
      <c r="AM273" s="2"/>
      <c r="AN273" s="2"/>
      <c r="AO273" s="2"/>
      <c r="AP273" s="2"/>
      <c r="AQ273" s="2"/>
      <c r="AR273" s="2"/>
      <c r="AS273" s="2"/>
      <c r="AT273" s="2"/>
      <c r="AU273" s="2"/>
    </row>
    <row r="274" spans="1:47" ht="14.2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537"/>
      <c r="AB274" s="45" t="s">
        <v>118</v>
      </c>
      <c r="AC274" s="46">
        <v>29</v>
      </c>
      <c r="AD274" s="46">
        <v>19</v>
      </c>
      <c r="AE274" s="59">
        <v>20</v>
      </c>
      <c r="AF274" s="60">
        <v>25</v>
      </c>
      <c r="AG274" s="2"/>
      <c r="AH274" s="2"/>
      <c r="AI274" s="2"/>
      <c r="AJ274" s="2"/>
      <c r="AK274" s="2"/>
      <c r="AL274" s="2"/>
      <c r="AM274" s="2"/>
      <c r="AN274" s="2"/>
      <c r="AO274" s="2"/>
      <c r="AP274" s="2"/>
      <c r="AQ274" s="2"/>
      <c r="AR274" s="2"/>
      <c r="AS274" s="2"/>
      <c r="AT274" s="2"/>
      <c r="AU274" s="2"/>
    </row>
    <row r="275" spans="1:47" ht="13.5" customHeight="1" x14ac:dyDescent="0.3">
      <c r="A275" s="2"/>
      <c r="B275" s="35"/>
      <c r="C275" s="25"/>
      <c r="D275" s="2"/>
      <c r="E275" s="2"/>
      <c r="F275" s="2"/>
      <c r="G275" s="2"/>
      <c r="H275" s="2"/>
      <c r="I275" s="2"/>
      <c r="J275" s="1"/>
      <c r="K275" s="1"/>
      <c r="L275" s="2"/>
      <c r="M275" s="2"/>
      <c r="N275" s="2"/>
      <c r="O275" s="2"/>
      <c r="P275" s="2"/>
      <c r="Q275" s="2"/>
      <c r="R275" s="2"/>
      <c r="S275" s="2"/>
      <c r="T275" s="2"/>
      <c r="U275" s="2"/>
      <c r="V275" s="2"/>
      <c r="W275" s="2"/>
      <c r="X275" s="2"/>
      <c r="Y275" s="2"/>
      <c r="Z275" s="2"/>
      <c r="AA275" s="540" t="s">
        <v>125</v>
      </c>
      <c r="AB275" s="45" t="s">
        <v>117</v>
      </c>
      <c r="AC275" s="46">
        <v>14</v>
      </c>
      <c r="AD275" s="46">
        <v>13</v>
      </c>
      <c r="AE275" s="47"/>
      <c r="AF275" s="47"/>
      <c r="AG275" s="2"/>
      <c r="AH275" s="2"/>
      <c r="AI275" s="2"/>
      <c r="AJ275" s="2"/>
      <c r="AK275" s="2"/>
      <c r="AL275" s="2"/>
      <c r="AM275" s="2"/>
      <c r="AN275" s="2"/>
      <c r="AO275" s="2"/>
      <c r="AP275" s="2"/>
      <c r="AQ275" s="2"/>
      <c r="AR275" s="2"/>
      <c r="AS275" s="2"/>
      <c r="AT275" s="2"/>
      <c r="AU275" s="2"/>
    </row>
    <row r="276" spans="1:47" ht="21.8" customHeight="1" x14ac:dyDescent="0.3">
      <c r="A276" s="2"/>
      <c r="B276" s="35"/>
      <c r="C276" s="2"/>
      <c r="D276" s="2"/>
      <c r="E276" s="2"/>
      <c r="F276" s="2"/>
      <c r="G276" s="2"/>
      <c r="H276" s="2"/>
      <c r="I276" s="2"/>
      <c r="J276" s="2"/>
      <c r="K276" s="2"/>
      <c r="L276" s="2"/>
      <c r="M276" s="2"/>
      <c r="N276" s="2"/>
      <c r="O276" s="2"/>
      <c r="P276" s="2"/>
      <c r="Q276" s="2"/>
      <c r="R276" s="2"/>
      <c r="S276" s="2"/>
      <c r="T276" s="2"/>
      <c r="U276" s="2"/>
      <c r="V276" s="2"/>
      <c r="W276" s="2"/>
      <c r="X276" s="2"/>
      <c r="Y276" s="2"/>
      <c r="Z276" s="2"/>
      <c r="AA276" s="537"/>
      <c r="AB276" s="45" t="s">
        <v>118</v>
      </c>
      <c r="AC276" s="46">
        <v>33</v>
      </c>
      <c r="AD276" s="46">
        <v>15</v>
      </c>
      <c r="AE276" s="59">
        <v>20</v>
      </c>
      <c r="AF276" s="60">
        <v>23</v>
      </c>
      <c r="AG276" s="2"/>
      <c r="AH276" s="2"/>
      <c r="AI276" s="2"/>
      <c r="AJ276" s="2"/>
      <c r="AK276" s="2"/>
      <c r="AL276" s="2"/>
      <c r="AM276" s="2"/>
      <c r="AN276" s="2"/>
      <c r="AO276" s="2"/>
      <c r="AP276" s="2"/>
      <c r="AQ276" s="2"/>
      <c r="AR276" s="2"/>
      <c r="AS276" s="2"/>
      <c r="AT276" s="2"/>
      <c r="AU276" s="2"/>
    </row>
    <row r="277" spans="1:47" ht="21.8" customHeight="1" x14ac:dyDescent="0.3">
      <c r="A277" s="2"/>
      <c r="B277" s="35"/>
      <c r="C277" s="2"/>
      <c r="D277" s="2"/>
      <c r="E277" s="2"/>
      <c r="F277" s="2"/>
      <c r="G277" s="2"/>
      <c r="H277" s="2"/>
      <c r="I277" s="2"/>
      <c r="J277" s="2"/>
      <c r="K277" s="2"/>
      <c r="L277" s="2"/>
      <c r="M277" s="2"/>
      <c r="N277" s="2"/>
      <c r="O277" s="2"/>
      <c r="P277" s="2"/>
      <c r="Q277" s="2"/>
      <c r="R277" s="2"/>
      <c r="S277" s="2"/>
      <c r="T277" s="2"/>
      <c r="U277" s="2"/>
      <c r="V277" s="2"/>
      <c r="W277" s="2"/>
      <c r="X277" s="2"/>
      <c r="Y277" s="2"/>
      <c r="Z277" s="2"/>
      <c r="AA277" s="61"/>
      <c r="AB277" s="62"/>
      <c r="AC277" s="3"/>
      <c r="AD277" s="3"/>
      <c r="AE277" s="63"/>
      <c r="AF277" s="64"/>
      <c r="AG277" s="2"/>
      <c r="AH277" s="2"/>
      <c r="AI277" s="2"/>
      <c r="AJ277" s="2"/>
      <c r="AK277" s="2"/>
      <c r="AL277" s="2"/>
      <c r="AM277" s="2"/>
      <c r="AN277" s="2"/>
      <c r="AO277" s="2"/>
      <c r="AP277" s="2"/>
      <c r="AQ277" s="2"/>
      <c r="AR277" s="2"/>
      <c r="AS277" s="2"/>
      <c r="AT277" s="2"/>
      <c r="AU277" s="2"/>
    </row>
    <row r="278" spans="1:47" ht="14.25" customHeight="1" x14ac:dyDescent="0.3">
      <c r="A278" s="2"/>
      <c r="B278" s="2"/>
      <c r="C278" s="32"/>
      <c r="D278" s="36"/>
      <c r="E278" s="2"/>
      <c r="F278" s="2"/>
      <c r="G278" s="2"/>
      <c r="H278" s="36"/>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row>
    <row r="279" spans="1:47" ht="14.25" customHeight="1" x14ac:dyDescent="0.3">
      <c r="A279" s="2"/>
      <c r="B279" s="2"/>
      <c r="C279" s="32"/>
      <c r="D279" s="36"/>
      <c r="E279" s="2"/>
      <c r="F279" s="2"/>
      <c r="G279" s="2"/>
      <c r="H279" s="36"/>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row>
    <row r="280" spans="1:47" ht="21" customHeight="1" x14ac:dyDescent="0.3">
      <c r="A280" s="2"/>
      <c r="B280" s="35"/>
      <c r="C280" s="3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row>
    <row r="281" spans="1:47" ht="14.25" customHeight="1" x14ac:dyDescent="0.3">
      <c r="A281" s="2"/>
      <c r="B281" s="35"/>
      <c r="C281" s="3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row>
    <row r="282" spans="1:47" ht="14.25" customHeight="1" x14ac:dyDescent="0.3">
      <c r="A282" s="2"/>
      <c r="B282" s="48"/>
      <c r="C282" s="79"/>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row>
    <row r="283" spans="1:47" ht="14.25" customHeight="1" x14ac:dyDescent="0.3">
      <c r="A283" s="2"/>
      <c r="B283" s="48"/>
      <c r="C283" s="79"/>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row>
    <row r="284" spans="1:47" ht="14.2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row>
    <row r="285" spans="1:47" ht="14.2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row>
    <row r="286" spans="1:47" ht="14.2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row>
    <row r="287" spans="1:47" ht="14.2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row>
    <row r="288" spans="1:47" ht="14.2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row>
    <row r="289" spans="1:47" ht="14.2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row>
    <row r="290" spans="1:47" ht="14.2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row>
    <row r="291" spans="1:47" ht="14.2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row>
    <row r="292" spans="1:47" ht="14.2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row>
    <row r="293" spans="1:47" ht="14.2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row>
    <row r="294" spans="1:47" ht="14.2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row>
    <row r="295" spans="1:47" ht="14.2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row>
    <row r="296" spans="1:47" ht="14.2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row>
    <row r="297" spans="1:47" ht="14.2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row>
    <row r="298" spans="1:47" ht="30.05" customHeight="1" x14ac:dyDescent="0.3">
      <c r="A298" s="2"/>
      <c r="B298" s="35"/>
      <c r="C298" s="25"/>
      <c r="D298" s="2"/>
      <c r="E298" s="2"/>
      <c r="F298" s="2"/>
      <c r="G298" s="2"/>
      <c r="H298" s="2"/>
      <c r="I298" s="2"/>
      <c r="J298" s="1"/>
      <c r="K298" s="1"/>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row>
    <row r="299" spans="1:47" ht="14.25" customHeight="1" x14ac:dyDescent="0.3">
      <c r="A299" s="2"/>
      <c r="B299" s="35"/>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row>
    <row r="300" spans="1:47" ht="14.25" customHeight="1" x14ac:dyDescent="0.3">
      <c r="A300" s="2"/>
      <c r="B300" s="2"/>
      <c r="C300" s="2"/>
      <c r="D300" s="36"/>
      <c r="E300" s="2"/>
      <c r="F300" s="2"/>
      <c r="G300" s="2"/>
      <c r="H300" s="36"/>
      <c r="I300" s="2"/>
      <c r="J300" s="2"/>
      <c r="K300" s="2"/>
      <c r="L300" s="2"/>
      <c r="M300" s="2"/>
      <c r="N300" s="2"/>
      <c r="O300" s="2"/>
      <c r="P300" s="2"/>
      <c r="Q300" s="2"/>
      <c r="R300" s="2"/>
      <c r="S300" s="2"/>
      <c r="T300" s="2"/>
      <c r="U300" s="2"/>
      <c r="V300" s="2"/>
      <c r="W300" s="2"/>
      <c r="X300" s="2"/>
      <c r="Y300" s="2"/>
      <c r="Z300" s="2"/>
      <c r="AA300" s="37" t="s">
        <v>166</v>
      </c>
      <c r="AB300" s="38"/>
      <c r="AC300" s="38"/>
      <c r="AD300" s="38"/>
      <c r="AE300" s="38"/>
      <c r="AF300" s="38"/>
      <c r="AG300" s="2"/>
      <c r="AH300" s="2"/>
      <c r="AI300" s="2"/>
      <c r="AJ300" s="2"/>
      <c r="AK300" s="2"/>
      <c r="AL300" s="2"/>
      <c r="AM300" s="2"/>
      <c r="AN300" s="2"/>
      <c r="AO300" s="2"/>
      <c r="AP300" s="2"/>
      <c r="AQ300" s="2"/>
      <c r="AR300" s="2"/>
      <c r="AS300" s="2"/>
      <c r="AT300" s="2"/>
      <c r="AU300" s="2"/>
    </row>
    <row r="301" spans="1:47" ht="14.25" customHeight="1" x14ac:dyDescent="0.3">
      <c r="A301" s="2"/>
      <c r="B301" s="35"/>
      <c r="C301" s="29"/>
      <c r="D301" s="2"/>
      <c r="E301" s="2"/>
      <c r="F301" s="2"/>
      <c r="G301" s="2"/>
      <c r="H301" s="2"/>
      <c r="I301" s="2"/>
      <c r="J301" s="2"/>
      <c r="K301" s="2"/>
      <c r="L301" s="2"/>
      <c r="M301" s="2"/>
      <c r="N301" s="2"/>
      <c r="O301" s="2"/>
      <c r="P301" s="2"/>
      <c r="Q301" s="2"/>
      <c r="R301" s="2"/>
      <c r="S301" s="2"/>
      <c r="T301" s="2"/>
      <c r="U301" s="2"/>
      <c r="V301" s="2"/>
      <c r="W301" s="2"/>
      <c r="X301" s="2"/>
      <c r="Y301" s="2"/>
      <c r="Z301" s="2"/>
      <c r="AA301" s="41" t="s">
        <v>0</v>
      </c>
      <c r="AB301" s="42" t="s">
        <v>115</v>
      </c>
      <c r="AC301" s="42" t="s">
        <v>107</v>
      </c>
      <c r="AD301" s="42" t="s">
        <v>108</v>
      </c>
      <c r="AE301" s="42" t="s">
        <v>109</v>
      </c>
      <c r="AF301" s="42" t="s">
        <v>53</v>
      </c>
      <c r="AG301" s="2"/>
      <c r="AH301" s="2"/>
      <c r="AI301" s="2"/>
      <c r="AJ301" s="2"/>
      <c r="AK301" s="2"/>
      <c r="AL301" s="2"/>
      <c r="AM301" s="2"/>
      <c r="AN301" s="2"/>
      <c r="AO301" s="2"/>
      <c r="AP301" s="2"/>
      <c r="AQ301" s="2"/>
      <c r="AR301" s="2"/>
      <c r="AS301" s="2"/>
      <c r="AT301" s="2"/>
      <c r="AU301" s="2"/>
    </row>
    <row r="302" spans="1:47" ht="14.25" customHeight="1" x14ac:dyDescent="0.3">
      <c r="A302" s="2"/>
      <c r="B302" s="35"/>
      <c r="C302" s="29"/>
      <c r="D302" s="2"/>
      <c r="E302" s="2"/>
      <c r="F302" s="2"/>
      <c r="G302" s="2"/>
      <c r="H302" s="2"/>
      <c r="I302" s="2"/>
      <c r="J302" s="2"/>
      <c r="K302" s="2"/>
      <c r="L302" s="2"/>
      <c r="M302" s="2"/>
      <c r="N302" s="2"/>
      <c r="O302" s="2"/>
      <c r="P302" s="2"/>
      <c r="Q302" s="2"/>
      <c r="R302" s="2"/>
      <c r="S302" s="2"/>
      <c r="T302" s="2"/>
      <c r="U302" s="2"/>
      <c r="V302" s="2"/>
      <c r="W302" s="2"/>
      <c r="X302" s="2"/>
      <c r="Y302" s="2"/>
      <c r="Z302" s="2"/>
      <c r="AA302" s="43"/>
      <c r="AB302" s="42"/>
      <c r="AC302" s="42"/>
      <c r="AD302" s="42"/>
      <c r="AE302" s="42"/>
      <c r="AF302" s="42"/>
      <c r="AG302" s="2"/>
      <c r="AH302" s="2"/>
      <c r="AI302" s="2"/>
      <c r="AJ302" s="2"/>
      <c r="AK302" s="2"/>
      <c r="AL302" s="2"/>
      <c r="AM302" s="2"/>
      <c r="AN302" s="2"/>
      <c r="AO302" s="2"/>
      <c r="AP302" s="2"/>
      <c r="AQ302" s="2"/>
      <c r="AR302" s="2"/>
      <c r="AS302" s="2"/>
      <c r="AT302" s="2"/>
      <c r="AU302" s="2"/>
    </row>
    <row r="303" spans="1:47" ht="14.25" customHeight="1" x14ac:dyDescent="0.3">
      <c r="A303" s="2"/>
      <c r="B303" s="35"/>
      <c r="C303" s="32"/>
      <c r="D303" s="2"/>
      <c r="E303" s="2"/>
      <c r="F303" s="2"/>
      <c r="G303" s="2"/>
      <c r="H303" s="2"/>
      <c r="I303" s="2"/>
      <c r="J303" s="2"/>
      <c r="K303" s="2"/>
      <c r="L303" s="2"/>
      <c r="M303" s="2"/>
      <c r="N303" s="2"/>
      <c r="O303" s="2"/>
      <c r="P303" s="2"/>
      <c r="Q303" s="2"/>
      <c r="R303" s="2"/>
      <c r="S303" s="2"/>
      <c r="T303" s="2"/>
      <c r="U303" s="2"/>
      <c r="V303" s="2"/>
      <c r="W303" s="44"/>
      <c r="X303" s="2"/>
      <c r="Y303" s="2"/>
      <c r="Z303" s="2"/>
      <c r="AA303" s="535" t="s">
        <v>116</v>
      </c>
      <c r="AB303" s="45" t="s">
        <v>117</v>
      </c>
      <c r="AC303" s="46">
        <v>12</v>
      </c>
      <c r="AD303" s="46">
        <v>13</v>
      </c>
      <c r="AE303" s="47"/>
      <c r="AF303" s="47"/>
      <c r="AG303" s="2"/>
      <c r="AH303" s="2"/>
      <c r="AI303" s="2"/>
      <c r="AJ303" s="2"/>
      <c r="AK303" s="2"/>
      <c r="AL303" s="2"/>
      <c r="AM303" s="2"/>
      <c r="AN303" s="2"/>
      <c r="AO303" s="2"/>
      <c r="AP303" s="2"/>
      <c r="AQ303" s="2"/>
      <c r="AR303" s="2"/>
      <c r="AS303" s="2"/>
      <c r="AT303" s="2"/>
      <c r="AU303" s="2"/>
    </row>
    <row r="304" spans="1:47" ht="14.25" customHeight="1" x14ac:dyDescent="0.3">
      <c r="A304" s="2"/>
      <c r="B304" s="48"/>
      <c r="C304" s="79"/>
      <c r="D304" s="2"/>
      <c r="E304" s="2"/>
      <c r="F304" s="2"/>
      <c r="G304" s="2"/>
      <c r="H304" s="2"/>
      <c r="I304" s="2"/>
      <c r="J304" s="2"/>
      <c r="K304" s="2"/>
      <c r="L304" s="2"/>
      <c r="M304" s="2"/>
      <c r="N304" s="2"/>
      <c r="O304" s="2"/>
      <c r="P304" s="2"/>
      <c r="Q304" s="2"/>
      <c r="R304" s="2"/>
      <c r="S304" s="2"/>
      <c r="T304" s="2"/>
      <c r="U304" s="2"/>
      <c r="V304" s="2"/>
      <c r="W304" s="2"/>
      <c r="X304" s="2"/>
      <c r="Y304" s="2"/>
      <c r="Z304" s="2"/>
      <c r="AA304" s="536"/>
      <c r="AB304" s="45"/>
      <c r="AC304" s="46"/>
      <c r="AD304" s="46"/>
      <c r="AE304" s="47"/>
      <c r="AF304" s="47"/>
      <c r="AG304" s="2"/>
      <c r="AH304" s="2"/>
      <c r="AI304" s="2"/>
      <c r="AJ304" s="2"/>
      <c r="AK304" s="2"/>
      <c r="AL304" s="2"/>
      <c r="AM304" s="2"/>
      <c r="AN304" s="2"/>
      <c r="AO304" s="2"/>
      <c r="AP304" s="2"/>
      <c r="AQ304" s="2"/>
      <c r="AR304" s="2"/>
      <c r="AS304" s="2"/>
      <c r="AT304" s="2"/>
      <c r="AU304" s="2"/>
    </row>
    <row r="305" spans="1:47" ht="14.25" customHeight="1" x14ac:dyDescent="0.3">
      <c r="A305" s="2"/>
      <c r="B305" s="2"/>
      <c r="C305" s="25"/>
      <c r="D305" s="2"/>
      <c r="E305" s="2"/>
      <c r="F305" s="2"/>
      <c r="G305" s="2"/>
      <c r="H305" s="2"/>
      <c r="I305" s="2"/>
      <c r="J305" s="2"/>
      <c r="K305" s="2"/>
      <c r="L305" s="2"/>
      <c r="M305" s="2"/>
      <c r="N305" s="2"/>
      <c r="O305" s="2"/>
      <c r="P305" s="2"/>
      <c r="Q305" s="2"/>
      <c r="R305" s="2"/>
      <c r="S305" s="2"/>
      <c r="T305" s="2"/>
      <c r="U305" s="2"/>
      <c r="V305" s="2"/>
      <c r="W305" s="2"/>
      <c r="X305" s="2"/>
      <c r="Y305" s="2"/>
      <c r="Z305" s="2"/>
      <c r="AA305" s="537"/>
      <c r="AB305" s="45" t="s">
        <v>118</v>
      </c>
      <c r="AC305" s="46">
        <v>21</v>
      </c>
      <c r="AD305" s="46">
        <v>34</v>
      </c>
      <c r="AE305" s="51">
        <v>20</v>
      </c>
      <c r="AF305" s="52">
        <v>31</v>
      </c>
      <c r="AG305" s="2"/>
      <c r="AH305" s="2"/>
      <c r="AI305" s="2"/>
      <c r="AJ305" s="2"/>
      <c r="AK305" s="2"/>
      <c r="AL305" s="2"/>
      <c r="AM305" s="2"/>
      <c r="AN305" s="2"/>
      <c r="AO305" s="2"/>
      <c r="AP305" s="2"/>
      <c r="AQ305" s="2"/>
      <c r="AR305" s="2"/>
      <c r="AS305" s="2"/>
      <c r="AT305" s="2"/>
      <c r="AU305" s="2"/>
    </row>
    <row r="306" spans="1:47" ht="14.25" customHeight="1" x14ac:dyDescent="0.3">
      <c r="A306" s="2"/>
      <c r="B306" s="2"/>
      <c r="C306" s="25"/>
      <c r="D306" s="2"/>
      <c r="E306" s="2"/>
      <c r="F306" s="2"/>
      <c r="G306" s="2"/>
      <c r="H306" s="2"/>
      <c r="I306" s="2"/>
      <c r="J306" s="2"/>
      <c r="K306" s="2"/>
      <c r="L306" s="2"/>
      <c r="M306" s="2"/>
      <c r="N306" s="2"/>
      <c r="O306" s="2"/>
      <c r="P306" s="2"/>
      <c r="Q306" s="2"/>
      <c r="R306" s="2"/>
      <c r="S306" s="2"/>
      <c r="T306" s="2"/>
      <c r="U306" s="2"/>
      <c r="V306" s="2"/>
      <c r="W306" s="2"/>
      <c r="X306" s="2"/>
      <c r="Y306" s="2"/>
      <c r="Z306" s="2"/>
      <c r="AA306" s="53"/>
      <c r="AB306" s="45"/>
      <c r="AC306" s="46"/>
      <c r="AD306" s="46"/>
      <c r="AE306" s="51"/>
      <c r="AF306" s="52"/>
      <c r="AG306" s="2"/>
      <c r="AH306" s="2"/>
      <c r="AI306" s="2"/>
      <c r="AJ306" s="2"/>
      <c r="AK306" s="2"/>
      <c r="AL306" s="2"/>
      <c r="AM306" s="2"/>
      <c r="AN306" s="2"/>
      <c r="AO306" s="2"/>
      <c r="AP306" s="2"/>
      <c r="AQ306" s="2"/>
      <c r="AR306" s="2"/>
      <c r="AS306" s="2"/>
      <c r="AT306" s="2"/>
      <c r="AU306" s="2"/>
    </row>
    <row r="307" spans="1:47" ht="14.25" customHeight="1" x14ac:dyDescent="0.3">
      <c r="A307" s="2"/>
      <c r="B307" s="2"/>
      <c r="C307" s="25"/>
      <c r="D307" s="2"/>
      <c r="E307" s="2"/>
      <c r="F307" s="2"/>
      <c r="G307" s="2"/>
      <c r="H307" s="2"/>
      <c r="I307" s="2"/>
      <c r="J307" s="2"/>
      <c r="K307" s="2"/>
      <c r="L307" s="2"/>
      <c r="M307" s="2"/>
      <c r="N307" s="2"/>
      <c r="O307" s="2"/>
      <c r="P307" s="2"/>
      <c r="Q307" s="2"/>
      <c r="R307" s="2"/>
      <c r="S307" s="2"/>
      <c r="T307" s="2"/>
      <c r="U307" s="2"/>
      <c r="V307" s="2"/>
      <c r="W307" s="2"/>
      <c r="X307" s="2"/>
      <c r="Y307" s="2"/>
      <c r="Z307" s="2"/>
      <c r="AA307" s="538" t="s">
        <v>4</v>
      </c>
      <c r="AB307" s="45" t="s">
        <v>117</v>
      </c>
      <c r="AC307" s="46">
        <v>40</v>
      </c>
      <c r="AD307" s="46">
        <v>37</v>
      </c>
      <c r="AE307" s="54"/>
      <c r="AF307" s="54"/>
      <c r="AG307" s="2"/>
      <c r="AH307" s="2"/>
      <c r="AI307" s="2"/>
      <c r="AJ307" s="2"/>
      <c r="AK307" s="2"/>
      <c r="AL307" s="2"/>
      <c r="AM307" s="2"/>
      <c r="AN307" s="2"/>
      <c r="AO307" s="2"/>
      <c r="AP307" s="2"/>
      <c r="AQ307" s="2"/>
      <c r="AR307" s="2"/>
      <c r="AS307" s="2"/>
      <c r="AT307" s="2"/>
      <c r="AU307" s="2"/>
    </row>
    <row r="308" spans="1:47" ht="14.2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536"/>
      <c r="AB308" s="45"/>
      <c r="AC308" s="46"/>
      <c r="AD308" s="46"/>
      <c r="AE308" s="54"/>
      <c r="AF308" s="54"/>
      <c r="AG308" s="2"/>
      <c r="AH308" s="2"/>
      <c r="AI308" s="2"/>
      <c r="AJ308" s="2"/>
      <c r="AK308" s="2"/>
      <c r="AL308" s="2"/>
      <c r="AM308" s="2"/>
      <c r="AN308" s="2"/>
      <c r="AO308" s="2"/>
      <c r="AP308" s="2"/>
      <c r="AQ308" s="2"/>
      <c r="AR308" s="2"/>
      <c r="AS308" s="2"/>
      <c r="AT308" s="2"/>
      <c r="AU308" s="2"/>
    </row>
    <row r="309" spans="1:47" ht="18.8" customHeight="1" x14ac:dyDescent="0.3">
      <c r="A309" s="2"/>
      <c r="B309" s="2"/>
      <c r="C309" s="2"/>
      <c r="D309" s="36"/>
      <c r="E309" s="2"/>
      <c r="F309" s="2"/>
      <c r="G309" s="2"/>
      <c r="H309" s="36"/>
      <c r="I309" s="2"/>
      <c r="J309" s="2"/>
      <c r="K309" s="2"/>
      <c r="L309" s="2"/>
      <c r="M309" s="2"/>
      <c r="N309" s="2"/>
      <c r="O309" s="2"/>
      <c r="P309" s="2"/>
      <c r="Q309" s="2"/>
      <c r="R309" s="2"/>
      <c r="S309" s="2"/>
      <c r="T309" s="2"/>
      <c r="U309" s="2"/>
      <c r="V309" s="2"/>
      <c r="W309" s="2"/>
      <c r="X309" s="2"/>
      <c r="Y309" s="2"/>
      <c r="Z309" s="2"/>
      <c r="AA309" s="537"/>
      <c r="AB309" s="45" t="s">
        <v>118</v>
      </c>
      <c r="AC309" s="46">
        <v>75</v>
      </c>
      <c r="AD309" s="46">
        <v>73</v>
      </c>
      <c r="AE309" s="46">
        <v>80</v>
      </c>
      <c r="AF309" s="46">
        <v>60</v>
      </c>
      <c r="AG309" s="2"/>
      <c r="AH309" s="2"/>
      <c r="AI309" s="2"/>
      <c r="AJ309" s="2"/>
      <c r="AK309" s="2"/>
      <c r="AL309" s="2"/>
      <c r="AM309" s="2"/>
      <c r="AN309" s="2"/>
      <c r="AO309" s="2"/>
      <c r="AP309" s="2"/>
      <c r="AQ309" s="2"/>
      <c r="AR309" s="2"/>
      <c r="AS309" s="2"/>
      <c r="AT309" s="2"/>
      <c r="AU309" s="2"/>
    </row>
    <row r="310" spans="1:47" ht="15.05" customHeight="1" x14ac:dyDescent="0.3">
      <c r="A310" s="2"/>
      <c r="B310" s="35"/>
      <c r="C310" s="29"/>
      <c r="D310" s="2"/>
      <c r="E310" s="2"/>
      <c r="F310" s="2"/>
      <c r="G310" s="2"/>
      <c r="H310" s="2"/>
      <c r="I310" s="2"/>
      <c r="J310" s="2"/>
      <c r="K310" s="2"/>
      <c r="L310" s="2"/>
      <c r="M310" s="2"/>
      <c r="N310" s="2"/>
      <c r="O310" s="2"/>
      <c r="P310" s="2"/>
      <c r="Q310" s="2"/>
      <c r="R310" s="2"/>
      <c r="S310" s="2"/>
      <c r="T310" s="2"/>
      <c r="U310" s="2"/>
      <c r="V310" s="2"/>
      <c r="W310" s="2"/>
      <c r="X310" s="2"/>
      <c r="Y310" s="2"/>
      <c r="Z310" s="2"/>
      <c r="AA310" s="539" t="s">
        <v>119</v>
      </c>
      <c r="AB310" s="45" t="s">
        <v>117</v>
      </c>
      <c r="AC310" s="46">
        <v>52</v>
      </c>
      <c r="AD310" s="46">
        <v>25</v>
      </c>
      <c r="AE310" s="47"/>
      <c r="AF310" s="47"/>
      <c r="AG310" s="2"/>
      <c r="AH310" s="2"/>
      <c r="AI310" s="2"/>
      <c r="AJ310" s="2"/>
      <c r="AK310" s="2"/>
      <c r="AL310" s="2"/>
      <c r="AM310" s="2"/>
      <c r="AN310" s="2"/>
      <c r="AO310" s="2"/>
      <c r="AP310" s="2"/>
      <c r="AQ310" s="2"/>
      <c r="AR310" s="2"/>
      <c r="AS310" s="2"/>
      <c r="AT310" s="2"/>
      <c r="AU310" s="2"/>
    </row>
    <row r="311" spans="1:47" ht="21" customHeight="1" x14ac:dyDescent="0.3">
      <c r="A311" s="2"/>
      <c r="B311" s="35"/>
      <c r="C311" s="32"/>
      <c r="D311" s="2"/>
      <c r="E311" s="2"/>
      <c r="F311" s="2"/>
      <c r="G311" s="2"/>
      <c r="H311" s="2"/>
      <c r="I311" s="2"/>
      <c r="J311" s="2"/>
      <c r="K311" s="2"/>
      <c r="L311" s="2"/>
      <c r="M311" s="2"/>
      <c r="N311" s="2"/>
      <c r="O311" s="2"/>
      <c r="P311" s="2"/>
      <c r="Q311" s="2"/>
      <c r="R311" s="2"/>
      <c r="S311" s="2"/>
      <c r="T311" s="2"/>
      <c r="U311" s="2"/>
      <c r="V311" s="2"/>
      <c r="W311" s="2"/>
      <c r="X311" s="2"/>
      <c r="Y311" s="2"/>
      <c r="Z311" s="2"/>
      <c r="AA311" s="537"/>
      <c r="AB311" s="45" t="s">
        <v>118</v>
      </c>
      <c r="AC311" s="46">
        <v>79</v>
      </c>
      <c r="AD311" s="46">
        <v>59</v>
      </c>
      <c r="AE311" s="51">
        <v>70</v>
      </c>
      <c r="AF311" s="55">
        <v>82</v>
      </c>
      <c r="AG311" s="2"/>
      <c r="AH311" s="2"/>
      <c r="AI311" s="2"/>
      <c r="AJ311" s="2"/>
      <c r="AK311" s="2"/>
      <c r="AL311" s="2"/>
      <c r="AM311" s="2"/>
      <c r="AN311" s="2"/>
      <c r="AO311" s="2"/>
      <c r="AP311" s="2"/>
      <c r="AQ311" s="2"/>
      <c r="AR311" s="2"/>
      <c r="AS311" s="2"/>
      <c r="AT311" s="2"/>
      <c r="AU311" s="2"/>
    </row>
    <row r="312" spans="1:47" ht="21" customHeight="1" x14ac:dyDescent="0.3">
      <c r="A312" s="2"/>
      <c r="B312" s="35"/>
      <c r="C312" s="32"/>
      <c r="D312" s="2"/>
      <c r="E312" s="2"/>
      <c r="F312" s="2"/>
      <c r="G312" s="2"/>
      <c r="H312" s="2"/>
      <c r="I312" s="2"/>
      <c r="J312" s="2"/>
      <c r="K312" s="2"/>
      <c r="L312" s="2"/>
      <c r="M312" s="2"/>
      <c r="N312" s="2"/>
      <c r="O312" s="2"/>
      <c r="P312" s="2"/>
      <c r="Q312" s="2"/>
      <c r="R312" s="2"/>
      <c r="S312" s="2"/>
      <c r="T312" s="2"/>
      <c r="U312" s="2"/>
      <c r="V312" s="2"/>
      <c r="W312" s="2"/>
      <c r="X312" s="2"/>
      <c r="Y312" s="2"/>
      <c r="Z312" s="2"/>
      <c r="AA312" s="56"/>
      <c r="AB312" s="45"/>
      <c r="AC312" s="46"/>
      <c r="AD312" s="46"/>
      <c r="AE312" s="51"/>
      <c r="AF312" s="55"/>
      <c r="AG312" s="2"/>
      <c r="AH312" s="2"/>
      <c r="AI312" s="2"/>
      <c r="AJ312" s="2"/>
      <c r="AK312" s="2"/>
      <c r="AL312" s="2"/>
      <c r="AM312" s="2"/>
      <c r="AN312" s="2"/>
      <c r="AO312" s="2"/>
      <c r="AP312" s="2"/>
      <c r="AQ312" s="2"/>
      <c r="AR312" s="2"/>
      <c r="AS312" s="2"/>
      <c r="AT312" s="2"/>
      <c r="AU312" s="2"/>
    </row>
    <row r="313" spans="1:47" ht="15.85" customHeight="1" x14ac:dyDescent="0.3">
      <c r="A313" s="2"/>
      <c r="B313" s="48"/>
      <c r="C313" s="79"/>
      <c r="D313" s="2"/>
      <c r="E313" s="2"/>
      <c r="F313" s="2"/>
      <c r="G313" s="2"/>
      <c r="H313" s="2"/>
      <c r="I313" s="2"/>
      <c r="J313" s="2"/>
      <c r="K313" s="2"/>
      <c r="L313" s="2"/>
      <c r="M313" s="2"/>
      <c r="N313" s="2"/>
      <c r="O313" s="2"/>
      <c r="P313" s="2"/>
      <c r="Q313" s="2"/>
      <c r="R313" s="2"/>
      <c r="S313" s="2"/>
      <c r="T313" s="2"/>
      <c r="U313" s="2"/>
      <c r="V313" s="2"/>
      <c r="W313" s="2"/>
      <c r="X313" s="2"/>
      <c r="Y313" s="2"/>
      <c r="Z313" s="2"/>
      <c r="AA313" s="538" t="s">
        <v>120</v>
      </c>
      <c r="AB313" s="45" t="s">
        <v>117</v>
      </c>
      <c r="AC313" s="46">
        <v>60</v>
      </c>
      <c r="AD313" s="46">
        <v>24</v>
      </c>
      <c r="AE313" s="47"/>
      <c r="AF313" s="47"/>
      <c r="AG313" s="2"/>
      <c r="AH313" s="2"/>
      <c r="AI313" s="2"/>
      <c r="AJ313" s="2"/>
      <c r="AK313" s="2"/>
      <c r="AL313" s="2"/>
      <c r="AM313" s="2"/>
      <c r="AN313" s="2"/>
      <c r="AO313" s="2"/>
      <c r="AP313" s="2"/>
      <c r="AQ313" s="2"/>
      <c r="AR313" s="2"/>
      <c r="AS313" s="2"/>
      <c r="AT313" s="2"/>
      <c r="AU313" s="2"/>
    </row>
    <row r="314" spans="1:47" ht="14.25" customHeight="1" x14ac:dyDescent="0.3">
      <c r="A314" s="2"/>
      <c r="B314" s="2"/>
      <c r="C314" s="25"/>
      <c r="D314" s="2"/>
      <c r="E314" s="2"/>
      <c r="F314" s="2"/>
      <c r="G314" s="2"/>
      <c r="H314" s="2"/>
      <c r="I314" s="2"/>
      <c r="J314" s="2"/>
      <c r="K314" s="2"/>
      <c r="L314" s="2"/>
      <c r="M314" s="2"/>
      <c r="N314" s="2"/>
      <c r="O314" s="2"/>
      <c r="P314" s="2"/>
      <c r="Q314" s="2"/>
      <c r="R314" s="2"/>
      <c r="S314" s="2"/>
      <c r="T314" s="2"/>
      <c r="U314" s="2"/>
      <c r="V314" s="2"/>
      <c r="W314" s="2"/>
      <c r="X314" s="2"/>
      <c r="Y314" s="2"/>
      <c r="Z314" s="2"/>
      <c r="AA314" s="537"/>
      <c r="AB314" s="45" t="s">
        <v>118</v>
      </c>
      <c r="AC314" s="46">
        <v>90</v>
      </c>
      <c r="AD314" s="46">
        <v>60</v>
      </c>
      <c r="AE314" s="45">
        <v>75</v>
      </c>
      <c r="AF314" s="45">
        <v>56</v>
      </c>
      <c r="AG314" s="2"/>
      <c r="AH314" s="2"/>
      <c r="AI314" s="2"/>
      <c r="AJ314" s="2"/>
      <c r="AK314" s="2"/>
      <c r="AL314" s="2"/>
      <c r="AM314" s="2"/>
      <c r="AN314" s="2"/>
      <c r="AO314" s="2"/>
      <c r="AP314" s="2"/>
      <c r="AQ314" s="2"/>
      <c r="AR314" s="2"/>
      <c r="AS314" s="2"/>
      <c r="AT314" s="2"/>
      <c r="AU314" s="2"/>
    </row>
    <row r="315" spans="1:47" ht="14.2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538" t="s">
        <v>122</v>
      </c>
      <c r="AB315" s="45" t="s">
        <v>117</v>
      </c>
      <c r="AC315" s="46">
        <v>27</v>
      </c>
      <c r="AD315" s="46">
        <v>19</v>
      </c>
      <c r="AE315" s="47"/>
      <c r="AF315" s="47"/>
      <c r="AG315" s="2"/>
      <c r="AH315" s="2"/>
      <c r="AI315" s="2"/>
      <c r="AJ315" s="2"/>
      <c r="AK315" s="2"/>
      <c r="AL315" s="2"/>
      <c r="AM315" s="2"/>
      <c r="AN315" s="2"/>
      <c r="AO315" s="2"/>
      <c r="AP315" s="2"/>
      <c r="AQ315" s="2"/>
      <c r="AR315" s="2"/>
      <c r="AS315" s="2"/>
      <c r="AT315" s="2"/>
      <c r="AU315" s="2"/>
    </row>
    <row r="316" spans="1:47" ht="14.2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536"/>
      <c r="AB316" s="45"/>
      <c r="AC316" s="46"/>
      <c r="AD316" s="46"/>
      <c r="AE316" s="47"/>
      <c r="AF316" s="47"/>
      <c r="AG316" s="2"/>
      <c r="AH316" s="2"/>
      <c r="AI316" s="2"/>
      <c r="AJ316" s="2"/>
      <c r="AK316" s="2"/>
      <c r="AL316" s="2"/>
      <c r="AM316" s="2"/>
      <c r="AN316" s="2"/>
      <c r="AO316" s="2"/>
      <c r="AP316" s="2"/>
      <c r="AQ316" s="2"/>
      <c r="AR316" s="2"/>
      <c r="AS316" s="2"/>
      <c r="AT316" s="2"/>
      <c r="AU316" s="2"/>
    </row>
    <row r="317" spans="1:47" ht="14.2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537"/>
      <c r="AB317" s="45" t="s">
        <v>118</v>
      </c>
      <c r="AC317" s="46">
        <v>35</v>
      </c>
      <c r="AD317" s="46">
        <v>24</v>
      </c>
      <c r="AE317" s="45">
        <v>45</v>
      </c>
      <c r="AF317" s="45">
        <v>26</v>
      </c>
      <c r="AG317" s="2"/>
      <c r="AH317" s="2"/>
      <c r="AI317" s="2"/>
      <c r="AJ317" s="2"/>
      <c r="AK317" s="2"/>
      <c r="AL317" s="2"/>
      <c r="AM317" s="2"/>
      <c r="AN317" s="2"/>
      <c r="AO317" s="2"/>
      <c r="AP317" s="2"/>
      <c r="AQ317" s="2"/>
      <c r="AR317" s="2"/>
      <c r="AS317" s="2"/>
      <c r="AT317" s="2"/>
      <c r="AU317" s="2"/>
    </row>
    <row r="318" spans="1:47" ht="14.25" customHeight="1" x14ac:dyDescent="0.3">
      <c r="A318" s="2"/>
      <c r="B318" s="2"/>
      <c r="C318" s="2"/>
      <c r="D318" s="36"/>
      <c r="E318" s="2"/>
      <c r="F318" s="2"/>
      <c r="G318" s="2"/>
      <c r="H318" s="36"/>
      <c r="I318" s="2"/>
      <c r="J318" s="2"/>
      <c r="K318" s="2"/>
      <c r="L318" s="2"/>
      <c r="M318" s="2"/>
      <c r="N318" s="2"/>
      <c r="O318" s="2"/>
      <c r="P318" s="2"/>
      <c r="Q318" s="2"/>
      <c r="R318" s="2"/>
      <c r="S318" s="2"/>
      <c r="T318" s="2"/>
      <c r="U318" s="2"/>
      <c r="V318" s="2"/>
      <c r="W318" s="2"/>
      <c r="X318" s="2"/>
      <c r="Y318" s="2"/>
      <c r="Z318" s="2"/>
      <c r="AA318" s="53"/>
      <c r="AB318" s="45"/>
      <c r="AC318" s="46"/>
      <c r="AD318" s="46"/>
      <c r="AE318" s="45"/>
      <c r="AF318" s="45"/>
      <c r="AG318" s="2"/>
      <c r="AH318" s="2"/>
      <c r="AI318" s="2"/>
      <c r="AJ318" s="2"/>
      <c r="AK318" s="2"/>
      <c r="AL318" s="2"/>
      <c r="AM318" s="2"/>
      <c r="AN318" s="2"/>
      <c r="AO318" s="2"/>
      <c r="AP318" s="2"/>
      <c r="AQ318" s="2"/>
      <c r="AR318" s="2"/>
      <c r="AS318" s="2"/>
      <c r="AT318" s="2"/>
      <c r="AU318" s="2"/>
    </row>
    <row r="319" spans="1:47" ht="14.25" customHeight="1" x14ac:dyDescent="0.3">
      <c r="A319" s="2"/>
      <c r="B319" s="35"/>
      <c r="C319" s="29"/>
      <c r="D319" s="2"/>
      <c r="E319" s="2"/>
      <c r="F319" s="2"/>
      <c r="G319" s="2"/>
      <c r="H319" s="2"/>
      <c r="I319" s="2"/>
      <c r="J319" s="2"/>
      <c r="K319" s="2"/>
      <c r="L319" s="2"/>
      <c r="M319" s="2"/>
      <c r="N319" s="2"/>
      <c r="O319" s="2"/>
      <c r="P319" s="2"/>
      <c r="Q319" s="2"/>
      <c r="R319" s="2"/>
      <c r="S319" s="2"/>
      <c r="T319" s="2"/>
      <c r="U319" s="2"/>
      <c r="V319" s="2"/>
      <c r="W319" s="2"/>
      <c r="X319" s="2"/>
      <c r="Y319" s="2"/>
      <c r="Z319" s="2"/>
      <c r="AA319" s="538" t="s">
        <v>21</v>
      </c>
      <c r="AB319" s="45" t="s">
        <v>117</v>
      </c>
      <c r="AC319" s="46">
        <v>19</v>
      </c>
      <c r="AD319" s="46">
        <v>17</v>
      </c>
      <c r="AE319" s="47"/>
      <c r="AF319" s="47"/>
      <c r="AG319" s="2"/>
      <c r="AH319" s="2"/>
      <c r="AI319" s="2"/>
      <c r="AJ319" s="2"/>
      <c r="AK319" s="2"/>
      <c r="AL319" s="2"/>
      <c r="AM319" s="2"/>
      <c r="AN319" s="2"/>
      <c r="AO319" s="2"/>
      <c r="AP319" s="2"/>
      <c r="AQ319" s="2"/>
      <c r="AR319" s="2"/>
      <c r="AS319" s="2"/>
      <c r="AT319" s="2"/>
      <c r="AU319" s="2"/>
    </row>
    <row r="320" spans="1:47" ht="14.25" customHeight="1" x14ac:dyDescent="0.3">
      <c r="A320" s="2"/>
      <c r="B320" s="35"/>
      <c r="C320" s="32"/>
      <c r="D320" s="2"/>
      <c r="E320" s="2"/>
      <c r="F320" s="2"/>
      <c r="G320" s="2"/>
      <c r="H320" s="2"/>
      <c r="I320" s="2"/>
      <c r="J320" s="2"/>
      <c r="K320" s="2"/>
      <c r="L320" s="2"/>
      <c r="M320" s="2"/>
      <c r="N320" s="2"/>
      <c r="O320" s="2"/>
      <c r="P320" s="2"/>
      <c r="Q320" s="2"/>
      <c r="R320" s="2"/>
      <c r="S320" s="2"/>
      <c r="T320" s="2"/>
      <c r="U320" s="2"/>
      <c r="V320" s="2"/>
      <c r="W320" s="2"/>
      <c r="X320" s="2"/>
      <c r="Y320" s="2"/>
      <c r="Z320" s="2"/>
      <c r="AA320" s="537"/>
      <c r="AB320" s="45" t="s">
        <v>118</v>
      </c>
      <c r="AC320" s="46">
        <v>75</v>
      </c>
      <c r="AD320" s="46">
        <v>50</v>
      </c>
      <c r="AE320" s="59">
        <v>80</v>
      </c>
      <c r="AF320" s="59">
        <v>50</v>
      </c>
      <c r="AG320" s="2"/>
      <c r="AH320" s="2"/>
      <c r="AI320" s="2"/>
      <c r="AJ320" s="2"/>
      <c r="AK320" s="2"/>
      <c r="AL320" s="2"/>
      <c r="AM320" s="2"/>
      <c r="AN320" s="2"/>
      <c r="AO320" s="2"/>
      <c r="AP320" s="2"/>
      <c r="AQ320" s="2"/>
      <c r="AR320" s="2"/>
      <c r="AS320" s="2"/>
      <c r="AT320" s="2"/>
      <c r="AU320" s="2"/>
    </row>
    <row r="321" spans="1:47" ht="14.25" customHeight="1" x14ac:dyDescent="0.3">
      <c r="A321" s="2"/>
      <c r="B321" s="48"/>
      <c r="C321" s="79"/>
      <c r="D321" s="2"/>
      <c r="E321" s="2"/>
      <c r="F321" s="2"/>
      <c r="G321" s="2"/>
      <c r="H321" s="2"/>
      <c r="I321" s="2"/>
      <c r="J321" s="2"/>
      <c r="K321" s="2"/>
      <c r="L321" s="2"/>
      <c r="M321" s="2"/>
      <c r="N321" s="2"/>
      <c r="O321" s="2"/>
      <c r="P321" s="2"/>
      <c r="Q321" s="2"/>
      <c r="R321" s="2"/>
      <c r="S321" s="2"/>
      <c r="T321" s="2"/>
      <c r="U321" s="2"/>
      <c r="V321" s="2"/>
      <c r="W321" s="2"/>
      <c r="X321" s="2"/>
      <c r="Y321" s="2"/>
      <c r="Z321" s="2"/>
      <c r="AA321" s="538" t="s">
        <v>19</v>
      </c>
      <c r="AB321" s="45" t="s">
        <v>117</v>
      </c>
      <c r="AC321" s="46">
        <v>15</v>
      </c>
      <c r="AD321" s="46">
        <v>8</v>
      </c>
      <c r="AE321" s="47"/>
      <c r="AF321" s="47"/>
      <c r="AG321" s="2"/>
      <c r="AH321" s="2"/>
      <c r="AI321" s="2"/>
      <c r="AJ321" s="2"/>
      <c r="AK321" s="2"/>
      <c r="AL321" s="2"/>
      <c r="AM321" s="2"/>
      <c r="AN321" s="2"/>
      <c r="AO321" s="2"/>
      <c r="AP321" s="2"/>
      <c r="AQ321" s="2"/>
      <c r="AR321" s="2"/>
      <c r="AS321" s="2"/>
      <c r="AT321" s="2"/>
      <c r="AU321" s="2"/>
    </row>
    <row r="322" spans="1:47" ht="14.25" customHeight="1" x14ac:dyDescent="0.3">
      <c r="A322" s="2"/>
      <c r="B322" s="48"/>
      <c r="C322" s="79"/>
      <c r="D322" s="2"/>
      <c r="E322" s="2"/>
      <c r="F322" s="2"/>
      <c r="G322" s="2"/>
      <c r="H322" s="2"/>
      <c r="I322" s="2"/>
      <c r="J322" s="2"/>
      <c r="K322" s="2"/>
      <c r="L322" s="2"/>
      <c r="M322" s="2"/>
      <c r="N322" s="2"/>
      <c r="O322" s="2"/>
      <c r="P322" s="2"/>
      <c r="Q322" s="2"/>
      <c r="R322" s="2"/>
      <c r="S322" s="2"/>
      <c r="T322" s="2"/>
      <c r="U322" s="2"/>
      <c r="V322" s="2"/>
      <c r="W322" s="2"/>
      <c r="X322" s="2"/>
      <c r="Y322" s="2"/>
      <c r="Z322" s="2"/>
      <c r="AA322" s="536"/>
      <c r="AB322" s="45"/>
      <c r="AC322" s="46"/>
      <c r="AD322" s="46"/>
      <c r="AE322" s="47"/>
      <c r="AF322" s="47"/>
      <c r="AG322" s="2"/>
      <c r="AH322" s="2"/>
      <c r="AI322" s="2"/>
      <c r="AJ322" s="2"/>
      <c r="AK322" s="2"/>
      <c r="AL322" s="2"/>
      <c r="AM322" s="2"/>
      <c r="AN322" s="2"/>
      <c r="AO322" s="2"/>
      <c r="AP322" s="2"/>
      <c r="AQ322" s="2"/>
      <c r="AR322" s="2"/>
      <c r="AS322" s="2"/>
      <c r="AT322" s="2"/>
      <c r="AU322" s="2"/>
    </row>
    <row r="323" spans="1:47" ht="14.2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537"/>
      <c r="AB323" s="45" t="s">
        <v>118</v>
      </c>
      <c r="AC323" s="46">
        <v>29</v>
      </c>
      <c r="AD323" s="46">
        <v>19</v>
      </c>
      <c r="AE323" s="59">
        <v>20</v>
      </c>
      <c r="AF323" s="60">
        <v>25</v>
      </c>
      <c r="AG323" s="2"/>
      <c r="AH323" s="2"/>
      <c r="AI323" s="2"/>
      <c r="AJ323" s="2"/>
      <c r="AK323" s="2"/>
      <c r="AL323" s="2"/>
      <c r="AM323" s="2"/>
      <c r="AN323" s="2"/>
      <c r="AO323" s="2"/>
      <c r="AP323" s="2"/>
      <c r="AQ323" s="2"/>
      <c r="AR323" s="2"/>
      <c r="AS323" s="2"/>
      <c r="AT323" s="2"/>
      <c r="AU323" s="2"/>
    </row>
    <row r="324" spans="1:47" ht="13.5" customHeight="1" x14ac:dyDescent="0.3">
      <c r="A324" s="2"/>
      <c r="B324" s="35"/>
      <c r="C324" s="25"/>
      <c r="D324" s="2"/>
      <c r="E324" s="2"/>
      <c r="F324" s="2"/>
      <c r="G324" s="2"/>
      <c r="H324" s="2"/>
      <c r="I324" s="2"/>
      <c r="J324" s="1"/>
      <c r="K324" s="1"/>
      <c r="L324" s="2"/>
      <c r="M324" s="2"/>
      <c r="N324" s="2"/>
      <c r="O324" s="2"/>
      <c r="P324" s="2"/>
      <c r="Q324" s="2"/>
      <c r="R324" s="2"/>
      <c r="S324" s="2"/>
      <c r="T324" s="2"/>
      <c r="U324" s="2"/>
      <c r="V324" s="2"/>
      <c r="W324" s="2"/>
      <c r="X324" s="2"/>
      <c r="Y324" s="2"/>
      <c r="Z324" s="2"/>
      <c r="AA324" s="540" t="s">
        <v>125</v>
      </c>
      <c r="AB324" s="45" t="s">
        <v>117</v>
      </c>
      <c r="AC324" s="46">
        <v>14</v>
      </c>
      <c r="AD324" s="46">
        <v>13</v>
      </c>
      <c r="AE324" s="47"/>
      <c r="AF324" s="47"/>
      <c r="AG324" s="2"/>
      <c r="AH324" s="2"/>
      <c r="AI324" s="2"/>
      <c r="AJ324" s="2"/>
      <c r="AK324" s="2"/>
      <c r="AL324" s="2"/>
      <c r="AM324" s="2"/>
      <c r="AN324" s="2"/>
      <c r="AO324" s="2"/>
      <c r="AP324" s="2"/>
      <c r="AQ324" s="2"/>
      <c r="AR324" s="2"/>
      <c r="AS324" s="2"/>
      <c r="AT324" s="2"/>
      <c r="AU324" s="2"/>
    </row>
    <row r="325" spans="1:47" ht="21.8" customHeight="1" x14ac:dyDescent="0.3">
      <c r="A325" s="2"/>
      <c r="B325" s="35"/>
      <c r="C325" s="2"/>
      <c r="D325" s="2"/>
      <c r="E325" s="2"/>
      <c r="F325" s="2"/>
      <c r="G325" s="2"/>
      <c r="H325" s="2"/>
      <c r="I325" s="2"/>
      <c r="J325" s="2"/>
      <c r="K325" s="2"/>
      <c r="L325" s="2"/>
      <c r="M325" s="2"/>
      <c r="N325" s="2"/>
      <c r="O325" s="2"/>
      <c r="P325" s="2"/>
      <c r="Q325" s="2"/>
      <c r="R325" s="2"/>
      <c r="S325" s="2"/>
      <c r="T325" s="2"/>
      <c r="U325" s="2"/>
      <c r="V325" s="2"/>
      <c r="W325" s="2"/>
      <c r="X325" s="2"/>
      <c r="Y325" s="2"/>
      <c r="Z325" s="2"/>
      <c r="AA325" s="537"/>
      <c r="AB325" s="45" t="s">
        <v>118</v>
      </c>
      <c r="AC325" s="46">
        <v>33</v>
      </c>
      <c r="AD325" s="46">
        <v>15</v>
      </c>
      <c r="AE325" s="59">
        <v>20</v>
      </c>
      <c r="AF325" s="60">
        <v>23</v>
      </c>
      <c r="AG325" s="2"/>
      <c r="AH325" s="2"/>
      <c r="AI325" s="2"/>
      <c r="AJ325" s="2"/>
      <c r="AK325" s="2"/>
      <c r="AL325" s="2"/>
      <c r="AM325" s="2"/>
      <c r="AN325" s="2"/>
      <c r="AO325" s="2"/>
      <c r="AP325" s="2"/>
      <c r="AQ325" s="2"/>
      <c r="AR325" s="2"/>
      <c r="AS325" s="2"/>
      <c r="AT325" s="2"/>
      <c r="AU325" s="2"/>
    </row>
    <row r="326" spans="1:47" ht="21.8" customHeight="1" x14ac:dyDescent="0.3">
      <c r="A326" s="2"/>
      <c r="B326" s="35"/>
      <c r="C326" s="2"/>
      <c r="D326" s="2"/>
      <c r="E326" s="2"/>
      <c r="F326" s="2"/>
      <c r="G326" s="2"/>
      <c r="H326" s="2"/>
      <c r="I326" s="2"/>
      <c r="J326" s="2"/>
      <c r="K326" s="2"/>
      <c r="L326" s="2"/>
      <c r="M326" s="2"/>
      <c r="N326" s="2"/>
      <c r="O326" s="2"/>
      <c r="P326" s="2"/>
      <c r="Q326" s="2"/>
      <c r="R326" s="2"/>
      <c r="S326" s="2"/>
      <c r="T326" s="2"/>
      <c r="U326" s="2"/>
      <c r="V326" s="2"/>
      <c r="W326" s="2"/>
      <c r="X326" s="2"/>
      <c r="Y326" s="2"/>
      <c r="Z326" s="2"/>
      <c r="AA326" s="61"/>
      <c r="AB326" s="62"/>
      <c r="AC326" s="3"/>
      <c r="AD326" s="3"/>
      <c r="AE326" s="63"/>
      <c r="AF326" s="64"/>
      <c r="AG326" s="2"/>
      <c r="AH326" s="2"/>
      <c r="AI326" s="2"/>
      <c r="AJ326" s="2"/>
      <c r="AK326" s="2"/>
      <c r="AL326" s="2"/>
      <c r="AM326" s="2"/>
      <c r="AN326" s="2"/>
      <c r="AO326" s="2"/>
      <c r="AP326" s="2"/>
      <c r="AQ326" s="2"/>
      <c r="AR326" s="2"/>
      <c r="AS326" s="2"/>
      <c r="AT326" s="2"/>
      <c r="AU326" s="2"/>
    </row>
    <row r="327" spans="1:47" ht="14.25" customHeight="1" x14ac:dyDescent="0.3">
      <c r="A327" s="2"/>
      <c r="B327" s="2"/>
      <c r="C327" s="32"/>
      <c r="D327" s="36"/>
      <c r="E327" s="2"/>
      <c r="F327" s="2"/>
      <c r="G327" s="2"/>
      <c r="H327" s="36"/>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row>
    <row r="328" spans="1:47" ht="14.25" customHeight="1" x14ac:dyDescent="0.3">
      <c r="A328" s="2"/>
      <c r="B328" s="2"/>
      <c r="C328" s="32"/>
      <c r="D328" s="36"/>
      <c r="E328" s="2"/>
      <c r="F328" s="2"/>
      <c r="G328" s="2"/>
      <c r="H328" s="36"/>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row>
    <row r="329" spans="1:47" ht="21" customHeight="1" x14ac:dyDescent="0.3">
      <c r="A329" s="2"/>
      <c r="B329" s="35"/>
      <c r="C329" s="3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row>
    <row r="330" spans="1:47" ht="14.25" customHeight="1" x14ac:dyDescent="0.3">
      <c r="A330" s="2"/>
      <c r="B330" s="35"/>
      <c r="C330" s="3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row>
    <row r="331" spans="1:47" ht="14.25" customHeight="1" x14ac:dyDescent="0.3">
      <c r="A331" s="2"/>
      <c r="B331" s="48"/>
      <c r="C331" s="79"/>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row>
    <row r="332" spans="1:47" ht="14.25" customHeight="1" x14ac:dyDescent="0.3">
      <c r="A332" s="2"/>
      <c r="B332" s="48"/>
      <c r="C332" s="79"/>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row>
    <row r="333" spans="1:47" ht="14.2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row>
    <row r="334" spans="1:47" ht="14.2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row>
    <row r="335" spans="1:47" ht="14.2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row>
    <row r="336" spans="1:47" ht="14.2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row>
    <row r="337" spans="1:47" ht="14.2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row>
    <row r="338" spans="1:47" ht="14.2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row>
    <row r="339" spans="1:47" ht="14.2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row>
    <row r="340" spans="1:47" ht="14.2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row>
    <row r="341" spans="1:47" ht="14.2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row>
    <row r="342" spans="1:47" ht="14.2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row>
    <row r="343" spans="1:47" ht="14.2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row>
    <row r="344" spans="1:47" ht="14.2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row>
    <row r="345" spans="1:47" ht="14.2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row>
    <row r="346" spans="1:47" ht="14.2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row>
    <row r="347" spans="1:47" ht="14.2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row>
    <row r="348" spans="1:47" ht="21"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row>
    <row r="349" spans="1:47" ht="14.2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row>
    <row r="350" spans="1:47" ht="14.2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row>
    <row r="351" spans="1:47" ht="14.2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row>
    <row r="352" spans="1:47" ht="14.2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row>
    <row r="353" spans="1:47" ht="14.2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row>
    <row r="354" spans="1:47" ht="14.2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row>
    <row r="355" spans="1:47" ht="14.2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row>
    <row r="356" spans="1:47" ht="14.2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row>
    <row r="357" spans="1:47" ht="14.2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row>
    <row r="358" spans="1:47" ht="14.2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row>
    <row r="359" spans="1:47" ht="14.2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row>
    <row r="360" spans="1:47" ht="14.2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row>
    <row r="361" spans="1:47" ht="14.2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row>
    <row r="362" spans="1:47" ht="14.2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row>
    <row r="363" spans="1:47" ht="14.2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row>
    <row r="364" spans="1:47" ht="14.2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row>
    <row r="365" spans="1:47" ht="14.2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row>
    <row r="366" spans="1:47" ht="14.2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row>
    <row r="367" spans="1:47" ht="14.2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row>
    <row r="368" spans="1:47" ht="14.2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row>
    <row r="369" spans="1:47" ht="14.2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row>
    <row r="370" spans="1:47" ht="14.2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row>
    <row r="371" spans="1:47" ht="14.2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row>
    <row r="372" spans="1:47" ht="14.2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row>
    <row r="373" spans="1:47" ht="14.2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row>
    <row r="374" spans="1:47" ht="14.2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row>
    <row r="375" spans="1:47" ht="14.2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row>
    <row r="376" spans="1:47" ht="14.2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row>
    <row r="377" spans="1:47" ht="14.2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row>
    <row r="378" spans="1:47" ht="14.2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row>
    <row r="379" spans="1:47" ht="14.2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row>
    <row r="380" spans="1:47" ht="14.2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row>
    <row r="381" spans="1:47" ht="14.2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row>
    <row r="382" spans="1:47" ht="14.2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row>
    <row r="383" spans="1:47" ht="14.2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row>
    <row r="384" spans="1:47" ht="14.2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row>
    <row r="385" spans="1:47" ht="14.2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row>
    <row r="386" spans="1:47" ht="14.2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row>
    <row r="387" spans="1:47" ht="14.2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row>
    <row r="388" spans="1:47" ht="14.2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row>
    <row r="389" spans="1:47" ht="14.2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row>
    <row r="390" spans="1:47" ht="14.2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row>
    <row r="391" spans="1:47" ht="14.2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row>
    <row r="392" spans="1:47" ht="14.2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row>
    <row r="393" spans="1:47" ht="14.2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row>
    <row r="394" spans="1:47" ht="14.2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row>
    <row r="395" spans="1:47" ht="14.2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row>
    <row r="396" spans="1:47" ht="14.2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row>
    <row r="397" spans="1:47" ht="14.2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row>
    <row r="398" spans="1:47" ht="14.2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row>
    <row r="399" spans="1:47" ht="14.2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row>
    <row r="400" spans="1:47" ht="14.2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row>
    <row r="401" spans="1:47" ht="14.2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row>
    <row r="402" spans="1:47" ht="14.2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row>
    <row r="403" spans="1:47" ht="14.2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row>
    <row r="404" spans="1:47" ht="14.2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row>
    <row r="405" spans="1:47" ht="14.2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row>
    <row r="406" spans="1:47" ht="14.2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row>
    <row r="407" spans="1:47" ht="14.2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row>
    <row r="408" spans="1:47" ht="14.2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row>
    <row r="409" spans="1:47" ht="14.2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row>
    <row r="410" spans="1:47" ht="14.2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row>
    <row r="411" spans="1:47" ht="14.2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row>
    <row r="412" spans="1:47" ht="14.2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row>
    <row r="413" spans="1:47" ht="14.2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row>
    <row r="414" spans="1:47" ht="14.2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row>
    <row r="415" spans="1:47" ht="14.2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row>
    <row r="416" spans="1:47" ht="14.2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row>
    <row r="417" spans="1:47" ht="14.2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row>
    <row r="418" spans="1:47" ht="14.2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row>
    <row r="419" spans="1:47" ht="14.2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row>
    <row r="420" spans="1:47" ht="14.2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row>
    <row r="421" spans="1:47" ht="14.2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row>
    <row r="422" spans="1:47" ht="14.2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row>
    <row r="423" spans="1:47" ht="14.2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row>
    <row r="424" spans="1:47" ht="14.2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row>
    <row r="425" spans="1:47" ht="14.2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row>
    <row r="426" spans="1:47" ht="14.2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row>
    <row r="427" spans="1:47" ht="14.2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row>
    <row r="428" spans="1:47" ht="14.2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row>
    <row r="429" spans="1:47" ht="14.2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row>
    <row r="430" spans="1:47" ht="14.2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row>
    <row r="431" spans="1:47" ht="14.2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row>
    <row r="432" spans="1:47" ht="14.2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row>
    <row r="433" spans="1:47" ht="14.2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row>
    <row r="434" spans="1:47" ht="14.2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row>
    <row r="435" spans="1:47" ht="14.2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row>
    <row r="436" spans="1:47" ht="14.2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row>
    <row r="437" spans="1:47" ht="14.2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row>
    <row r="438" spans="1:47" ht="14.2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row>
    <row r="439" spans="1:47" ht="14.2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row>
    <row r="440" spans="1:47" ht="14.2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row>
    <row r="441" spans="1:47" ht="14.2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row>
    <row r="442" spans="1:47" ht="14.2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row>
    <row r="443" spans="1:47" ht="14.2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row>
    <row r="444" spans="1:47" ht="14.2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row>
    <row r="445" spans="1:47" ht="14.2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row>
    <row r="446" spans="1:47" ht="14.2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row>
    <row r="447" spans="1:47" ht="14.2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row>
    <row r="448" spans="1:47" ht="14.2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row>
    <row r="449" spans="1:47" ht="14.2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row>
    <row r="450" spans="1:47" ht="14.2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row>
    <row r="451" spans="1:47" ht="14.2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row>
    <row r="452" spans="1:47" ht="14.2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row>
    <row r="453" spans="1:47" ht="14.2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row>
    <row r="454" spans="1:47" ht="14.2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row>
    <row r="455" spans="1:47" ht="14.2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row>
    <row r="456" spans="1:47" ht="14.2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row>
    <row r="457" spans="1:47" ht="14.2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row>
    <row r="458" spans="1:47" ht="14.2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row>
    <row r="459" spans="1:47" ht="14.2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row>
    <row r="460" spans="1:47" ht="14.2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row>
    <row r="461" spans="1:47" ht="14.2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row>
    <row r="462" spans="1:47" ht="14.2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row>
    <row r="463" spans="1:47" ht="14.2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row>
    <row r="464" spans="1:47" ht="14.2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row>
    <row r="465" spans="1:47" ht="14.2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row>
    <row r="466" spans="1:47" ht="14.2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row>
    <row r="467" spans="1:47" ht="14.2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row>
    <row r="468" spans="1:47" ht="14.2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row>
    <row r="469" spans="1:47" ht="14.2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row>
    <row r="470" spans="1:47" ht="14.2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row>
    <row r="471" spans="1:47" ht="14.2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row>
    <row r="472" spans="1:47" ht="14.2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row>
    <row r="473" spans="1:47" ht="14.2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row>
    <row r="474" spans="1:47" ht="14.2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row>
    <row r="475" spans="1:47" ht="14.2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row>
    <row r="476" spans="1:47" ht="14.2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row>
    <row r="477" spans="1:47" ht="14.2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row>
    <row r="478" spans="1:47" ht="14.2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row>
    <row r="479" spans="1:47" ht="14.2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row>
    <row r="480" spans="1:47" ht="14.2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row>
    <row r="481" spans="1:47" ht="14.2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row>
    <row r="482" spans="1:47" ht="14.2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row>
    <row r="483" spans="1:47" ht="14.2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row>
    <row r="484" spans="1:47" ht="14.2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row>
    <row r="485" spans="1:47" ht="14.2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row>
    <row r="486" spans="1:47" ht="14.2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row>
    <row r="487" spans="1:47" ht="14.2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row>
    <row r="488" spans="1:47" ht="14.2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row>
    <row r="489" spans="1:47" ht="14.2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row>
    <row r="490" spans="1:47" ht="14.2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row>
    <row r="491" spans="1:47" ht="14.2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row>
    <row r="492" spans="1:47" ht="14.2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row>
    <row r="493" spans="1:47" ht="14.2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row>
    <row r="494" spans="1:47" ht="14.2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row>
    <row r="495" spans="1:47" ht="14.2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row>
    <row r="496" spans="1:47" ht="14.2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row>
    <row r="497" spans="1:47" ht="14.2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row>
    <row r="498" spans="1:47" ht="14.2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row>
    <row r="499" spans="1:47" ht="14.2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row>
    <row r="500" spans="1:47" ht="14.2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row>
    <row r="501" spans="1:47" ht="14.2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row>
    <row r="502" spans="1:47" ht="14.2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row>
    <row r="503" spans="1:47" ht="14.2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row>
    <row r="504" spans="1:47" ht="14.2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row>
    <row r="505" spans="1:47" ht="14.2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row>
    <row r="506" spans="1:47" ht="14.2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row>
    <row r="507" spans="1:47" ht="14.2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row>
    <row r="508" spans="1:47" ht="14.2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row>
    <row r="509" spans="1:47" ht="14.2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row>
    <row r="510" spans="1:47" ht="14.2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row>
    <row r="511" spans="1:47" ht="14.2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row>
    <row r="512" spans="1:47" ht="14.2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row>
    <row r="513" spans="1:47" ht="14.2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row>
    <row r="514" spans="1:47" ht="14.2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row>
    <row r="515" spans="1:47" ht="14.2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row>
    <row r="516" spans="1:47" ht="14.2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row>
    <row r="517" spans="1:47" ht="14.2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row>
    <row r="518" spans="1:47" ht="14.2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row>
    <row r="519" spans="1:47" ht="14.2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row>
    <row r="520" spans="1:47" ht="14.2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row>
    <row r="521" spans="1:47" ht="14.2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row>
    <row r="522" spans="1:47" ht="14.2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row>
    <row r="523" spans="1:47" ht="14.2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row>
    <row r="524" spans="1:47" ht="14.2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row>
    <row r="525" spans="1:47" ht="14.2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row>
    <row r="526" spans="1:47" ht="14.2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row>
    <row r="527" spans="1:47" ht="14.2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row>
    <row r="528" spans="1:47" ht="14.2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row>
    <row r="529" spans="1:47" ht="14.2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row>
    <row r="530" spans="1:47" ht="14.2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row>
    <row r="531" spans="1:47" ht="14.2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row>
    <row r="532" spans="1:47" ht="14.2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row>
    <row r="533" spans="1:47" ht="14.2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row>
    <row r="534" spans="1:47" ht="14.2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row>
    <row r="535" spans="1:47" ht="14.2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row>
    <row r="536" spans="1:47" ht="14.2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row>
    <row r="537" spans="1:47" ht="14.2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row>
    <row r="538" spans="1:47" ht="14.2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row>
    <row r="539" spans="1:47" ht="14.2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row>
    <row r="540" spans="1:47" ht="14.2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row>
    <row r="541" spans="1:47" ht="14.2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row>
    <row r="542" spans="1:47" ht="14.2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row>
    <row r="543" spans="1:47" ht="14.2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row>
    <row r="544" spans="1:47" ht="14.2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row>
    <row r="545" spans="1:47" ht="14.2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row>
    <row r="546" spans="1:47" ht="14.2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row>
    <row r="547" spans="1:47" ht="14.2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row>
    <row r="548" spans="1:47" ht="14.2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row>
    <row r="549" spans="1:47" ht="14.2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row>
    <row r="550" spans="1:47" ht="14.2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row>
    <row r="551" spans="1:47" ht="14.2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row>
    <row r="552" spans="1:47" ht="14.2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row>
    <row r="553" spans="1:47" ht="14.2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row>
    <row r="554" spans="1:47" ht="14.2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row>
    <row r="555" spans="1:47" ht="14.2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row>
    <row r="556" spans="1:47" ht="14.2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row>
    <row r="557" spans="1:47" ht="14.2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row>
    <row r="558" spans="1:47" ht="14.2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row>
    <row r="559" spans="1:47" ht="14.2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row>
    <row r="560" spans="1:47" ht="14.2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row>
    <row r="561" spans="1:47" ht="14.2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row>
    <row r="562" spans="1:47" ht="14.2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row>
    <row r="563" spans="1:47" ht="14.2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row>
    <row r="564" spans="1:47" ht="14.2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row>
    <row r="565" spans="1:47" ht="14.2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row>
    <row r="566" spans="1:47" ht="14.2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row>
    <row r="567" spans="1:47" ht="14.2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row>
    <row r="568" spans="1:47" ht="14.2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row>
    <row r="569" spans="1:47" ht="14.2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row>
    <row r="570" spans="1:47" ht="14.2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row>
    <row r="571" spans="1:47" ht="14.2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row>
    <row r="572" spans="1:47" ht="14.2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row>
    <row r="573" spans="1:47" ht="14.2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row>
    <row r="574" spans="1:47" ht="14.2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row>
    <row r="575" spans="1:47" ht="14.2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row>
    <row r="576" spans="1:47" ht="14.2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row>
    <row r="577" spans="1:47" ht="14.2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row>
    <row r="578" spans="1:47" ht="14.2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row>
    <row r="579" spans="1:47" ht="14.2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row>
    <row r="580" spans="1:47" ht="14.2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row>
    <row r="581" spans="1:47" ht="14.2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row>
    <row r="582" spans="1:47" ht="14.2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row>
    <row r="583" spans="1:47" ht="14.2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row>
    <row r="584" spans="1:47" ht="14.2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row>
    <row r="585" spans="1:47" ht="14.2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row>
    <row r="586" spans="1:47" ht="14.2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row>
    <row r="587" spans="1:47" ht="14.2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row>
    <row r="588" spans="1:47" ht="14.2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row>
    <row r="589" spans="1:47" ht="14.2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row>
    <row r="590" spans="1:47" ht="14.2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row>
    <row r="591" spans="1:47" ht="14.2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row>
    <row r="592" spans="1:47" ht="14.2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row>
    <row r="593" spans="1:47" ht="14.2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row>
    <row r="594" spans="1:47" ht="14.2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row>
    <row r="595" spans="1:47" ht="14.2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row>
    <row r="596" spans="1:47" ht="14.2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row>
    <row r="597" spans="1:47" ht="14.2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row>
    <row r="598" spans="1:47" ht="14.2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row>
    <row r="599" spans="1:47" ht="14.2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row>
    <row r="600" spans="1:47" ht="14.2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row>
    <row r="601" spans="1:47" ht="14.2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row>
    <row r="602" spans="1:47" ht="14.2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row>
    <row r="603" spans="1:47" ht="14.2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row>
    <row r="604" spans="1:47" ht="14.2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row>
    <row r="605" spans="1:47" ht="14.2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row>
    <row r="606" spans="1:47" ht="14.2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row>
    <row r="607" spans="1:47" ht="14.2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row>
    <row r="608" spans="1:47" ht="14.2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row>
    <row r="609" spans="1:47" ht="14.2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row>
    <row r="610" spans="1:47" ht="14.2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row>
    <row r="611" spans="1:47" ht="14.2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row>
    <row r="612" spans="1:47" ht="14.2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row>
    <row r="613" spans="1:47" ht="14.2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row>
    <row r="614" spans="1:47" ht="14.2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row>
    <row r="615" spans="1:47" ht="14.2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row>
    <row r="616" spans="1:47" ht="14.2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row>
    <row r="617" spans="1:47" ht="14.2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row>
    <row r="618" spans="1:47" ht="14.2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row>
    <row r="619" spans="1:47" ht="14.2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row>
    <row r="620" spans="1:47" ht="14.2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row>
    <row r="621" spans="1:47" ht="14.2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row>
    <row r="622" spans="1:47" ht="14.2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row>
    <row r="623" spans="1:47" ht="14.2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row>
    <row r="624" spans="1:47" ht="14.2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row>
    <row r="625" spans="1:47" ht="14.2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row>
    <row r="626" spans="1:47" ht="14.2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row>
    <row r="627" spans="1:47" ht="14.2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row>
    <row r="628" spans="1:47" ht="14.2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row>
    <row r="629" spans="1:47" ht="14.2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row>
    <row r="630" spans="1:47" ht="14.2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row>
    <row r="631" spans="1:47" ht="14.2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row>
    <row r="632" spans="1:47" ht="14.2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row>
    <row r="633" spans="1:47" ht="14.2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row>
    <row r="634" spans="1:47" ht="14.2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row>
    <row r="635" spans="1:47" ht="14.2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row>
    <row r="636" spans="1:47" ht="14.2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row>
    <row r="637" spans="1:47" ht="14.2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row>
    <row r="638" spans="1:47" ht="14.2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row>
    <row r="639" spans="1:47" ht="14.2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row>
    <row r="640" spans="1:47" ht="14.2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row>
    <row r="641" spans="1:47" ht="14.2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row>
    <row r="642" spans="1:47" ht="14.2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row>
    <row r="643" spans="1:47" ht="14.2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row>
    <row r="644" spans="1:47" ht="14.2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row>
    <row r="645" spans="1:47" ht="14.2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row>
    <row r="646" spans="1:47" ht="14.2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row>
    <row r="647" spans="1:47" ht="14.2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row>
    <row r="648" spans="1:47" ht="14.2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row>
    <row r="649" spans="1:47" ht="14.2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row>
    <row r="650" spans="1:47" ht="14.2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row>
    <row r="651" spans="1:47" ht="14.2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row>
    <row r="652" spans="1:47" ht="14.2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row>
    <row r="653" spans="1:47" ht="14.2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row>
    <row r="654" spans="1:47" ht="14.2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row>
    <row r="655" spans="1:47" ht="14.2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row>
    <row r="656" spans="1:47" ht="14.2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row>
    <row r="657" spans="1:47" ht="14.2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row>
    <row r="658" spans="1:47" ht="14.2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row>
    <row r="659" spans="1:47" ht="14.2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row>
    <row r="660" spans="1:47" ht="14.2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row>
    <row r="661" spans="1:47" ht="14.2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row>
    <row r="662" spans="1:47" ht="14.2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row>
    <row r="663" spans="1:47" ht="14.2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row>
    <row r="664" spans="1:47" ht="14.2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row>
    <row r="665" spans="1:47" ht="14.2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row>
    <row r="666" spans="1:47" ht="14.2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row>
    <row r="667" spans="1:47" ht="14.2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row>
    <row r="668" spans="1:47" ht="14.2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row>
    <row r="669" spans="1:47" ht="14.2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row>
    <row r="670" spans="1:47" ht="14.2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row>
    <row r="671" spans="1:47" ht="14.2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row>
    <row r="672" spans="1:47" ht="14.2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row>
    <row r="673" spans="1:47" ht="14.2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row>
    <row r="674" spans="1:47" ht="14.2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row>
    <row r="675" spans="1:47" ht="14.2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row>
    <row r="676" spans="1:47" ht="14.2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row>
    <row r="677" spans="1:47" ht="14.2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row>
    <row r="678" spans="1:47" ht="14.2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row>
    <row r="679" spans="1:47" ht="14.2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row>
    <row r="680" spans="1:47" ht="14.2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row>
    <row r="681" spans="1:47" ht="14.2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row>
    <row r="682" spans="1:47" ht="14.2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row>
    <row r="683" spans="1:47" ht="14.2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row>
    <row r="684" spans="1:47" ht="14.2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row>
    <row r="685" spans="1:47" ht="14.2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row>
    <row r="686" spans="1:47" ht="14.2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row>
    <row r="687" spans="1:47" ht="14.2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row>
    <row r="688" spans="1:47" ht="14.2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row>
    <row r="689" spans="1:47" ht="14.2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row>
    <row r="690" spans="1:47" ht="14.2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row>
    <row r="691" spans="1:47" ht="14.2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row>
    <row r="692" spans="1:47" ht="14.2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row>
    <row r="693" spans="1:47" ht="14.2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row>
    <row r="694" spans="1:47" ht="14.2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row>
    <row r="695" spans="1:47" ht="14.2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row>
    <row r="696" spans="1:47" ht="14.2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row>
    <row r="697" spans="1:47" ht="14.2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row>
    <row r="698" spans="1:47" ht="14.2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row>
    <row r="699" spans="1:47" ht="14.2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row>
    <row r="700" spans="1:47" ht="14.2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row>
    <row r="701" spans="1:47" ht="14.2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row>
    <row r="702" spans="1:47" ht="14.2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row>
    <row r="703" spans="1:47" ht="14.2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row>
    <row r="704" spans="1:47" ht="14.2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row>
    <row r="705" spans="1:47" ht="14.2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row>
    <row r="706" spans="1:47" ht="14.2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row>
    <row r="707" spans="1:47" ht="14.2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row>
    <row r="708" spans="1:47" ht="14.2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row>
    <row r="709" spans="1:47" ht="14.2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row>
    <row r="710" spans="1:47" ht="14.2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row>
    <row r="711" spans="1:47" ht="14.2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row>
    <row r="712" spans="1:47" ht="14.2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row>
    <row r="713" spans="1:47" ht="14.2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row>
    <row r="714" spans="1:47" ht="14.2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row>
    <row r="715" spans="1:47" ht="14.2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row>
    <row r="716" spans="1:47" ht="14.2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row>
    <row r="717" spans="1:47" ht="14.2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row>
    <row r="718" spans="1:47" ht="14.2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row>
    <row r="719" spans="1:47" ht="14.2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row>
    <row r="720" spans="1:47" ht="14.2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row>
    <row r="721" spans="1:47" ht="14.2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row>
    <row r="722" spans="1:47" ht="14.2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row>
    <row r="723" spans="1:47" ht="14.2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row>
    <row r="724" spans="1:47" ht="14.2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row>
    <row r="725" spans="1:47" ht="14.2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row>
    <row r="726" spans="1:47" ht="14.2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row>
    <row r="727" spans="1:47" ht="14.2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row>
    <row r="728" spans="1:47" ht="14.2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row>
    <row r="729" spans="1:47" ht="14.2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row>
    <row r="730" spans="1:47" ht="14.2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row>
    <row r="731" spans="1:47" ht="14.2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row>
    <row r="732" spans="1:47" ht="14.2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row>
    <row r="733" spans="1:47" ht="14.2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row>
    <row r="734" spans="1:47" ht="14.2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row>
    <row r="735" spans="1:47" ht="14.2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row>
    <row r="736" spans="1:47" ht="14.2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row>
    <row r="737" spans="1:47" ht="14.2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row>
    <row r="738" spans="1:47" ht="14.2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row>
    <row r="739" spans="1:47" ht="14.2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row>
    <row r="740" spans="1:47" ht="14.2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row>
    <row r="741" spans="1:47" ht="14.2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row>
    <row r="742" spans="1:47" ht="14.2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row>
    <row r="743" spans="1:47" ht="14.2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row>
    <row r="744" spans="1:47" ht="14.2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row>
    <row r="745" spans="1:47" ht="14.2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row>
    <row r="746" spans="1:47" ht="14.2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row>
    <row r="747" spans="1:47" ht="14.2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row>
    <row r="748" spans="1:47" ht="14.2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row>
    <row r="749" spans="1:47" ht="14.2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row>
    <row r="750" spans="1:47" ht="14.2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row>
    <row r="751" spans="1:47" ht="14.2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row>
    <row r="752" spans="1:47" ht="14.2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row>
    <row r="753" spans="1:47" ht="14.2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row>
    <row r="754" spans="1:47" ht="14.2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row>
    <row r="755" spans="1:47" ht="14.2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row>
    <row r="756" spans="1:47" ht="14.2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row>
    <row r="757" spans="1:47" ht="14.2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row>
    <row r="758" spans="1:47" ht="14.2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row>
    <row r="759" spans="1:47" ht="14.2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row>
    <row r="760" spans="1:47" ht="14.2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row>
    <row r="761" spans="1:47" ht="14.2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row>
    <row r="762" spans="1:47" ht="14.2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row>
    <row r="763" spans="1:47" ht="14.2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row>
    <row r="764" spans="1:47" ht="14.2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row>
    <row r="765" spans="1:47" ht="14.2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row>
    <row r="766" spans="1:47" ht="14.2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row>
    <row r="767" spans="1:47" ht="14.2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row>
    <row r="768" spans="1:47" ht="14.2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row>
    <row r="769" spans="1:47" ht="14.2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row>
    <row r="770" spans="1:47" ht="14.2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row>
    <row r="771" spans="1:47" ht="14.2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row>
    <row r="772" spans="1:47" ht="14.2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row>
    <row r="773" spans="1:47" ht="14.2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row>
    <row r="774" spans="1:47" ht="14.2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row>
    <row r="775" spans="1:47" ht="14.2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row>
    <row r="776" spans="1:47" ht="14.2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row>
    <row r="777" spans="1:47" ht="14.2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row>
    <row r="778" spans="1:47" ht="14.2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row>
    <row r="779" spans="1:47" ht="14.2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row>
    <row r="780" spans="1:47" ht="14.2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row>
    <row r="781" spans="1:47" ht="14.2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row>
    <row r="782" spans="1:47" ht="14.2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row>
    <row r="783" spans="1:47" ht="14.2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row>
    <row r="784" spans="1:47" ht="14.2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row>
    <row r="785" spans="1:47" ht="14.2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row>
    <row r="786" spans="1:47" ht="14.2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row>
    <row r="787" spans="1:47" ht="14.2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row>
    <row r="788" spans="1:47" ht="14.2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row>
    <row r="789" spans="1:47" ht="14.2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row>
    <row r="790" spans="1:47" ht="14.2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row>
    <row r="791" spans="1:47" ht="14.2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row>
    <row r="792" spans="1:47" ht="14.2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row>
    <row r="793" spans="1:47" ht="14.2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row>
    <row r="794" spans="1:47" ht="14.2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row>
    <row r="795" spans="1:47" ht="14.2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row>
    <row r="796" spans="1:47" ht="14.2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row>
    <row r="797" spans="1:47" ht="14.2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row>
    <row r="798" spans="1:47" ht="14.2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row>
    <row r="799" spans="1:47" ht="14.2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row>
    <row r="800" spans="1:47" ht="14.2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row>
    <row r="801" spans="1:47" ht="14.2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row>
    <row r="802" spans="1:47" ht="14.2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row>
    <row r="803" spans="1:47" ht="14.2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row>
    <row r="804" spans="1:47" ht="14.2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row>
    <row r="805" spans="1:47" ht="14.2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row>
    <row r="806" spans="1:47" ht="14.2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row>
    <row r="807" spans="1:47" ht="14.2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row>
    <row r="808" spans="1:47" ht="14.2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row>
    <row r="809" spans="1:47" ht="14.2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row>
    <row r="810" spans="1:47" ht="14.2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row>
    <row r="811" spans="1:47" ht="14.2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row>
    <row r="812" spans="1:47" ht="14.2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row>
    <row r="813" spans="1:47" ht="14.2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row>
    <row r="814" spans="1:47" ht="14.2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row>
    <row r="815" spans="1:47" ht="14.2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row>
    <row r="816" spans="1:47" ht="14.2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row>
    <row r="817" spans="1:47" ht="14.2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row>
    <row r="818" spans="1:47" ht="14.2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row>
    <row r="819" spans="1:47" ht="14.2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row>
    <row r="820" spans="1:47" ht="14.2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row>
    <row r="821" spans="1:47" ht="14.2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row>
    <row r="822" spans="1:47" ht="14.2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row>
    <row r="823" spans="1:47" ht="14.2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row>
    <row r="824" spans="1:47" ht="14.2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row>
    <row r="825" spans="1:47" ht="14.2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row>
    <row r="826" spans="1:47" ht="14.2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row>
    <row r="827" spans="1:47" ht="14.2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row>
    <row r="828" spans="1:47" ht="14.2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row>
    <row r="829" spans="1:47" ht="14.2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row>
    <row r="830" spans="1:47" ht="14.2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row>
    <row r="831" spans="1:47" ht="14.2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row>
    <row r="832" spans="1:47" ht="14.2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row>
    <row r="833" spans="1:47" ht="14.2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row>
    <row r="834" spans="1:47" ht="14.2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row>
    <row r="835" spans="1:47" ht="14.2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row>
    <row r="836" spans="1:47" ht="14.2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row>
    <row r="837" spans="1:47" ht="14.2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row>
    <row r="838" spans="1:47" ht="14.2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row>
    <row r="839" spans="1:47" ht="14.2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row>
    <row r="840" spans="1:47" ht="14.2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row>
    <row r="841" spans="1:47" ht="14.2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row>
    <row r="842" spans="1:47" ht="14.2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row>
    <row r="843" spans="1:47" ht="14.2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row>
    <row r="844" spans="1:47" ht="14.2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row>
    <row r="845" spans="1:47" ht="14.2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row>
    <row r="846" spans="1:47" ht="14.2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row>
    <row r="847" spans="1:47" ht="14.2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row>
    <row r="848" spans="1:47" ht="14.2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row>
    <row r="849" spans="1:47" ht="14.2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row>
    <row r="850" spans="1:47" ht="14.2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row>
    <row r="851" spans="1:47" ht="14.2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row>
    <row r="852" spans="1:47" ht="14.2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row>
    <row r="853" spans="1:47" ht="14.2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row>
    <row r="854" spans="1:47" ht="14.2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row>
    <row r="855" spans="1:47" ht="14.2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row>
    <row r="856" spans="1:47" ht="14.2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row>
    <row r="857" spans="1:47" ht="14.2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row>
    <row r="858" spans="1:47" ht="14.2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row>
    <row r="859" spans="1:47" ht="14.2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row>
    <row r="860" spans="1:47" ht="14.2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row>
    <row r="861" spans="1:47" ht="14.2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row>
    <row r="862" spans="1:47" ht="14.2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row>
    <row r="863" spans="1:47" ht="14.2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row>
    <row r="864" spans="1:47" ht="14.2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row>
    <row r="865" spans="1:47" ht="14.2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row>
    <row r="866" spans="1:47" ht="14.2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row>
    <row r="867" spans="1:47" ht="14.2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row>
    <row r="868" spans="1:47" ht="14.2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row>
    <row r="869" spans="1:47" ht="14.2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row>
    <row r="870" spans="1:47" ht="14.2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row>
    <row r="871" spans="1:47" ht="14.2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row>
    <row r="872" spans="1:47" ht="14.2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row>
    <row r="873" spans="1:47" ht="14.2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row>
    <row r="874" spans="1:47" ht="14.2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row>
    <row r="875" spans="1:47" ht="14.2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row>
    <row r="876" spans="1:47" ht="14.2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row>
    <row r="877" spans="1:47" ht="14.2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row>
    <row r="878" spans="1:47" ht="14.2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row>
    <row r="879" spans="1:47" ht="14.2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row>
    <row r="880" spans="1:47" ht="14.2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row>
    <row r="881" spans="1:47" ht="14.2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row>
    <row r="882" spans="1:47" ht="14.2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row>
    <row r="883" spans="1:47" ht="14.2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row>
    <row r="884" spans="1:47" ht="14.2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row>
    <row r="885" spans="1:47" ht="14.2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row>
    <row r="886" spans="1:47" ht="14.2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row>
    <row r="887" spans="1:47" ht="14.2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row>
    <row r="888" spans="1:47" ht="14.2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row>
    <row r="889" spans="1:47" ht="14.2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row>
    <row r="890" spans="1:47" ht="14.2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row>
    <row r="891" spans="1:47" ht="14.2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row>
    <row r="892" spans="1:47" ht="14.2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row>
    <row r="893" spans="1:47" ht="14.2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row>
    <row r="894" spans="1:47" ht="14.2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row>
    <row r="895" spans="1:47" ht="14.2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row>
    <row r="896" spans="1:47" ht="14.2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row>
    <row r="897" spans="1:47" ht="14.2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row>
    <row r="898" spans="1:47" ht="14.2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row>
    <row r="899" spans="1:47" ht="14.2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row>
    <row r="900" spans="1:47" ht="14.2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row>
    <row r="901" spans="1:47" ht="14.2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row>
    <row r="902" spans="1:47" ht="14.2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row>
    <row r="903" spans="1:47" ht="14.2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row>
    <row r="904" spans="1:47" ht="14.2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row>
    <row r="905" spans="1:47" ht="14.2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row>
    <row r="906" spans="1:47" ht="14.2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row>
    <row r="907" spans="1:47" ht="14.2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row>
    <row r="908" spans="1:47" ht="14.2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row>
    <row r="909" spans="1:47" ht="14.2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row>
    <row r="910" spans="1:47" ht="14.2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row>
    <row r="911" spans="1:47" ht="14.2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row>
    <row r="912" spans="1:47" ht="14.2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row>
    <row r="913" spans="1:47" ht="14.2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row>
    <row r="914" spans="1:47" ht="14.2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row>
    <row r="915" spans="1:47" ht="14.2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row>
    <row r="916" spans="1:47" ht="14.2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row>
    <row r="917" spans="1:47" ht="14.2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row>
    <row r="918" spans="1:47" ht="14.2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row>
    <row r="919" spans="1:47" ht="14.2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row>
    <row r="920" spans="1:47" ht="14.2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row>
    <row r="921" spans="1:47" ht="14.2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row>
    <row r="922" spans="1:47" ht="14.2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row>
    <row r="923" spans="1:47" ht="14.2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row>
    <row r="924" spans="1:47" ht="14.2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row>
    <row r="925" spans="1:47" ht="14.2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row>
    <row r="926" spans="1:47" ht="14.2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row>
    <row r="927" spans="1:47" ht="14.2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row>
    <row r="928" spans="1:47" ht="14.2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row>
    <row r="929" spans="1:47" ht="14.2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row>
    <row r="930" spans="1:47" ht="14.2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row>
    <row r="931" spans="1:47" ht="14.2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row>
    <row r="932" spans="1:47" ht="14.2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row>
    <row r="933" spans="1:47" ht="14.2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row>
    <row r="934" spans="1:47" ht="14.2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row>
    <row r="935" spans="1:47" ht="14.2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row>
    <row r="936" spans="1:47" ht="14.2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row>
    <row r="937" spans="1:47" ht="14.2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row>
    <row r="938" spans="1:47" ht="14.2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row>
    <row r="939" spans="1:47" ht="14.2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row>
    <row r="940" spans="1:47" ht="14.2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row>
    <row r="941" spans="1:47" ht="14.2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row>
    <row r="942" spans="1:47" ht="14.2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row>
    <row r="943" spans="1:47" ht="14.2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row>
    <row r="944" spans="1:47" ht="14.2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row>
    <row r="945" spans="1:47" ht="14.2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row>
    <row r="946" spans="1:47" ht="14.2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row>
    <row r="947" spans="1:47" ht="14.2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row>
    <row r="948" spans="1:47" ht="14.2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row>
    <row r="949" spans="1:47" ht="14.2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row>
    <row r="950" spans="1:47" ht="14.2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row>
    <row r="951" spans="1:47" ht="14.2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row>
    <row r="952" spans="1:47" ht="14.2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row>
    <row r="953" spans="1:47" ht="14.2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row>
    <row r="954" spans="1:47" ht="14.2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row>
    <row r="955" spans="1:47" ht="14.2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row>
    <row r="956" spans="1:47" ht="14.2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row>
    <row r="957" spans="1:47" ht="14.2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row>
    <row r="958" spans="1:47" ht="14.2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row>
    <row r="959" spans="1:47" ht="14.2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row>
    <row r="960" spans="1:47" ht="14.2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row>
    <row r="961" spans="1:47" ht="14.2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row>
    <row r="962" spans="1:47" ht="14.2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row>
    <row r="963" spans="1:47" ht="14.2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row>
    <row r="964" spans="1:47" ht="14.2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row>
    <row r="965" spans="1:47" ht="14.2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row>
    <row r="966" spans="1:47" ht="14.2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row>
    <row r="967" spans="1:47" ht="14.25" customHeight="1"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row>
    <row r="968" spans="1:47" ht="14.25" customHeight="1" x14ac:dyDescent="0.3">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row>
    <row r="969" spans="1:47" ht="14.25" customHeight="1" x14ac:dyDescent="0.3">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row>
    <row r="970" spans="1:47" ht="14.25" customHeight="1" x14ac:dyDescent="0.3">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row>
    <row r="971" spans="1:47" ht="14.25" customHeight="1" x14ac:dyDescent="0.3">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row>
    <row r="972" spans="1:47" ht="14.25" customHeight="1" x14ac:dyDescent="0.3">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row>
    <row r="973" spans="1:47" ht="14.25" customHeight="1" x14ac:dyDescent="0.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row>
    <row r="974" spans="1:47" ht="14.25" customHeight="1" x14ac:dyDescent="0.3">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row>
    <row r="975" spans="1:47" ht="14.25" customHeight="1" x14ac:dyDescent="0.3">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row>
    <row r="976" spans="1:47" ht="14.25" customHeight="1" x14ac:dyDescent="0.3">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row>
    <row r="977" spans="1:47" ht="14.25" customHeight="1" x14ac:dyDescent="0.3">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row>
    <row r="978" spans="1:47" ht="14.25" customHeight="1"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row>
    <row r="979" spans="1:47" ht="14.25" customHeight="1" x14ac:dyDescent="0.3">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row>
    <row r="980" spans="1:47" ht="14.25" customHeight="1" x14ac:dyDescent="0.3">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row>
    <row r="981" spans="1:47" ht="14.25" customHeight="1" x14ac:dyDescent="0.3">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row>
    <row r="982" spans="1:47" ht="14.25" customHeight="1" x14ac:dyDescent="0.3">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row>
    <row r="983" spans="1:47" ht="14.25" customHeight="1" x14ac:dyDescent="0.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row>
    <row r="984" spans="1:47" ht="14.25" customHeight="1" x14ac:dyDescent="0.3">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row>
    <row r="985" spans="1:47" ht="14.25" customHeight="1" x14ac:dyDescent="0.3">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row>
    <row r="986" spans="1:47" ht="14.25" customHeight="1" x14ac:dyDescent="0.3">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row>
    <row r="987" spans="1:47" ht="14.25" customHeight="1" x14ac:dyDescent="0.3">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row>
    <row r="988" spans="1:47" ht="14.25" customHeight="1" x14ac:dyDescent="0.3">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row>
    <row r="989" spans="1:47" ht="14.25" customHeight="1" x14ac:dyDescent="0.3">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row>
    <row r="990" spans="1:47" ht="14.25" customHeight="1" x14ac:dyDescent="0.3">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row>
    <row r="991" spans="1:47" ht="14.25" customHeight="1" x14ac:dyDescent="0.3">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row>
    <row r="992" spans="1:47" ht="14.25" customHeight="1" x14ac:dyDescent="0.3">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row>
    <row r="993" spans="1:47" ht="14.25" customHeight="1" x14ac:dyDescent="0.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row>
    <row r="994" spans="1:47" ht="14.25" customHeight="1" x14ac:dyDescent="0.3">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row>
    <row r="995" spans="1:47" ht="14.25" customHeight="1" x14ac:dyDescent="0.3">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row>
    <row r="996" spans="1:47" ht="14.25" customHeight="1" x14ac:dyDescent="0.3">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row>
    <row r="997" spans="1:47" ht="14.25" customHeight="1" x14ac:dyDescent="0.3">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row>
    <row r="998" spans="1:47" ht="14.25" customHeight="1" x14ac:dyDescent="0.3">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row>
    <row r="999" spans="1:47" ht="14.25" customHeight="1" x14ac:dyDescent="0.3">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row>
    <row r="1000" spans="1:47" ht="14.25" customHeight="1" x14ac:dyDescent="0.3">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row>
  </sheetData>
  <mergeCells count="57">
    <mergeCell ref="AA313:AA314"/>
    <mergeCell ref="AA315:AA317"/>
    <mergeCell ref="AA319:AA320"/>
    <mergeCell ref="AA321:AA323"/>
    <mergeCell ref="AA324:AA325"/>
    <mergeCell ref="AA226:AA227"/>
    <mergeCell ref="AA254:AA256"/>
    <mergeCell ref="AA303:AA305"/>
    <mergeCell ref="AA307:AA309"/>
    <mergeCell ref="AA310:AA311"/>
    <mergeCell ref="AA258:AA260"/>
    <mergeCell ref="AA261:AA262"/>
    <mergeCell ref="AA264:AA265"/>
    <mergeCell ref="AA266:AA268"/>
    <mergeCell ref="AA270:AA271"/>
    <mergeCell ref="AA272:AA274"/>
    <mergeCell ref="AA275:AA276"/>
    <mergeCell ref="AA212:AA213"/>
    <mergeCell ref="AA215:AA216"/>
    <mergeCell ref="AA217:AA219"/>
    <mergeCell ref="AA221:AA222"/>
    <mergeCell ref="AA223:AA225"/>
    <mergeCell ref="AA172:AA173"/>
    <mergeCell ref="AA174:AA176"/>
    <mergeCell ref="AA177:AA178"/>
    <mergeCell ref="AA205:AA207"/>
    <mergeCell ref="AA209:AA211"/>
    <mergeCell ref="AA156:AA158"/>
    <mergeCell ref="AA160:AA162"/>
    <mergeCell ref="AA163:AA164"/>
    <mergeCell ref="AA166:AA167"/>
    <mergeCell ref="AA168:AA170"/>
    <mergeCell ref="AA117:AA118"/>
    <mergeCell ref="AA119:AA121"/>
    <mergeCell ref="AA123:AA124"/>
    <mergeCell ref="AA125:AA127"/>
    <mergeCell ref="AA128:AA129"/>
    <mergeCell ref="AA74:AA76"/>
    <mergeCell ref="AA77:AA78"/>
    <mergeCell ref="AA107:AA109"/>
    <mergeCell ref="AA111:AA113"/>
    <mergeCell ref="AA114:AA115"/>
    <mergeCell ref="AA60:AA62"/>
    <mergeCell ref="AA63:AA64"/>
    <mergeCell ref="AA66:AA67"/>
    <mergeCell ref="AA68:AA70"/>
    <mergeCell ref="AA72:AA73"/>
    <mergeCell ref="AP18:AP20"/>
    <mergeCell ref="AP22:AP23"/>
    <mergeCell ref="AP24:AP26"/>
    <mergeCell ref="AP27:AP28"/>
    <mergeCell ref="AA56:AA58"/>
    <mergeCell ref="C2:D2"/>
    <mergeCell ref="AP6:AP8"/>
    <mergeCell ref="AP10:AP12"/>
    <mergeCell ref="AP13:AP14"/>
    <mergeCell ref="AP16:AP17"/>
  </mergeCells>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15</vt:i4>
      </vt:variant>
      <vt:variant>
        <vt:lpstr>Benoemde bereiken</vt:lpstr>
      </vt:variant>
      <vt:variant>
        <vt:i4>1</vt:i4>
      </vt:variant>
    </vt:vector>
  </HeadingPairs>
  <TitlesOfParts>
    <vt:vector size="16" baseType="lpstr">
      <vt:lpstr>parameters</vt:lpstr>
      <vt:lpstr>Decanter centrifuge</vt:lpstr>
      <vt:lpstr>Screw press</vt:lpstr>
      <vt:lpstr>Belt press</vt:lpstr>
      <vt:lpstr>DAF</vt:lpstr>
      <vt:lpstr>N-stripping scrubbing</vt:lpstr>
      <vt:lpstr>Fiberplus</vt:lpstr>
      <vt:lpstr>RePeat</vt:lpstr>
      <vt:lpstr>Evaporation of low DM input</vt:lpstr>
      <vt:lpstr>Evaporation of high DM input</vt:lpstr>
      <vt:lpstr>Evaporation+RO</vt:lpstr>
      <vt:lpstr>MF-RO-IX</vt:lpstr>
      <vt:lpstr>Dryer</vt:lpstr>
      <vt:lpstr>additive dosage</vt:lpstr>
      <vt:lpstr>RR pre-treatment MF</vt:lpstr>
      <vt:lpstr>'RR pre-treatment MF'!cost_ch_DAF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Marieke - VCM</cp:lastModifiedBy>
  <dcterms:created xsi:type="dcterms:W3CDTF">2021-02-03T10:05:56Z</dcterms:created>
  <dcterms:modified xsi:type="dcterms:W3CDTF">2022-05-10T09:13:19Z</dcterms:modified>
</cp:coreProperties>
</file>